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ynny Gamrat" sheetId="1" r:id="rId4"/>
  </sheets>
  <definedNames/>
  <calcPr/>
</workbook>
</file>

<file path=xl/sharedStrings.xml><?xml version="1.0" encoding="utf-8"?>
<sst xmlns="http://schemas.openxmlformats.org/spreadsheetml/2006/main" count="489" uniqueCount="116">
  <si>
    <t>Dach Łuczaj s.c.</t>
  </si>
  <si>
    <t xml:space="preserve">Łyski, ul. Warszawska 26, </t>
  </si>
  <si>
    <t>16-070 Choroszcz</t>
  </si>
  <si>
    <t xml:space="preserve">tel. (85) 719 21 27            </t>
  </si>
  <si>
    <t>Zamawiający:</t>
  </si>
  <si>
    <t>Wystawił(a):</t>
  </si>
  <si>
    <t>Data wpływu:</t>
  </si>
  <si>
    <t>Kontakt:</t>
  </si>
  <si>
    <t>Gosia</t>
  </si>
  <si>
    <t>Uwagi:</t>
  </si>
  <si>
    <t>Basia</t>
  </si>
  <si>
    <t>Zadatek:</t>
  </si>
  <si>
    <t>Marek</t>
  </si>
  <si>
    <t>Łukasz</t>
  </si>
  <si>
    <t>System rynnowy Gamrat</t>
  </si>
  <si>
    <t>Rynna:</t>
  </si>
  <si>
    <t>Rura:</t>
  </si>
  <si>
    <t>Kolor</t>
  </si>
  <si>
    <t>Gabrysia</t>
  </si>
  <si>
    <t xml:space="preserve">PVC </t>
  </si>
  <si>
    <t>grafitowy</t>
  </si>
  <si>
    <t>Ania</t>
  </si>
  <si>
    <t>Dostępne systemy:</t>
  </si>
  <si>
    <t>Dostępne kolory:</t>
  </si>
  <si>
    <t>Produkt</t>
  </si>
  <si>
    <t>Ilość</t>
  </si>
  <si>
    <t>Cena netto</t>
  </si>
  <si>
    <t>Cena brutto</t>
  </si>
  <si>
    <t>Wartość netto</t>
  </si>
  <si>
    <t>Wartość brutto</t>
  </si>
  <si>
    <t>Rynny</t>
  </si>
  <si>
    <t xml:space="preserve">Rynna 4m </t>
  </si>
  <si>
    <t xml:space="preserve">Rynna 3m </t>
  </si>
  <si>
    <t xml:space="preserve">Złączka rynny </t>
  </si>
  <si>
    <t xml:space="preserve">Rynhak </t>
  </si>
  <si>
    <t>Denko prawe/lewe</t>
  </si>
  <si>
    <t xml:space="preserve">Lej spustowy </t>
  </si>
  <si>
    <t>Rury</t>
  </si>
  <si>
    <t xml:space="preserve">Rura spustowa 4m </t>
  </si>
  <si>
    <t xml:space="preserve">Rura spustowa 3m </t>
  </si>
  <si>
    <t xml:space="preserve">Kolanko </t>
  </si>
  <si>
    <t xml:space="preserve">Obejma </t>
  </si>
  <si>
    <t>Akcesoria</t>
  </si>
  <si>
    <t xml:space="preserve">Hak obejmy </t>
  </si>
  <si>
    <t xml:space="preserve">L-160 </t>
  </si>
  <si>
    <t xml:space="preserve">Stopka do obejm </t>
  </si>
  <si>
    <t xml:space="preserve">Wspornik aluminiowy </t>
  </si>
  <si>
    <t>Suma netto:</t>
  </si>
  <si>
    <t>Suma brutto:</t>
  </si>
  <si>
    <t>Rabat:</t>
  </si>
  <si>
    <t>Netto po rabacie:</t>
  </si>
  <si>
    <t>Brutto po rabacie:</t>
  </si>
  <si>
    <t>Rynna</t>
  </si>
  <si>
    <t>Rura</t>
  </si>
  <si>
    <t>Suma</t>
  </si>
  <si>
    <t>System</t>
  </si>
  <si>
    <t xml:space="preserve">czarny, ciemnobrązowy, grafitowy, biały, popielaty </t>
  </si>
  <si>
    <t xml:space="preserve">75/63, 100/63, 100/90, 125/90, 125/110, 150/110 </t>
  </si>
  <si>
    <t xml:space="preserve">PVC+ </t>
  </si>
  <si>
    <t xml:space="preserve">75/63, 100/63, 100/90, 125/90, 125/110 </t>
  </si>
  <si>
    <t xml:space="preserve">miedziany, srebrny, ceglasty, czarny </t>
  </si>
  <si>
    <t xml:space="preserve">Metalowe </t>
  </si>
  <si>
    <t xml:space="preserve">125/90, 125/100, 150/100 </t>
  </si>
  <si>
    <t xml:space="preserve">czarny, ciemnografitowy, grafitowy, ciemnobrązowy, brązowy, ceglasty, srebrny </t>
  </si>
  <si>
    <t>Netto</t>
  </si>
  <si>
    <t>Brutto</t>
  </si>
  <si>
    <t>Lista</t>
  </si>
  <si>
    <t xml:space="preserve">Rynajza </t>
  </si>
  <si>
    <t xml:space="preserve">Denko uniwersalne </t>
  </si>
  <si>
    <t>Narożnik zew./wew.</t>
  </si>
  <si>
    <t>Narożnik zew./wew. dowolny kąt</t>
  </si>
  <si>
    <t xml:space="preserve">Złączka rury </t>
  </si>
  <si>
    <t xml:space="preserve">Kolanko dowolny kąt </t>
  </si>
  <si>
    <t xml:space="preserve">Rewizja </t>
  </si>
  <si>
    <t xml:space="preserve">Trójnik </t>
  </si>
  <si>
    <t xml:space="preserve">Trójnik 110/63 </t>
  </si>
  <si>
    <t xml:space="preserve">Redukcja 110/63 </t>
  </si>
  <si>
    <t xml:space="preserve">Redukcja 110/90 </t>
  </si>
  <si>
    <t xml:space="preserve">Redukcja odwrotna 63/90 </t>
  </si>
  <si>
    <t>Łapacz deszczówki</t>
  </si>
  <si>
    <t xml:space="preserve">L-100 </t>
  </si>
  <si>
    <t>Narożnik zew./wew.  dowolny kąt</t>
  </si>
  <si>
    <t xml:space="preserve">L-120 </t>
  </si>
  <si>
    <t xml:space="preserve">L-140 </t>
  </si>
  <si>
    <t xml:space="preserve">Osadnik do rur spustowych </t>
  </si>
  <si>
    <t xml:space="preserve">Wylewka rewizji </t>
  </si>
  <si>
    <t xml:space="preserve">L-180 </t>
  </si>
  <si>
    <t xml:space="preserve">Sitko rewizji </t>
  </si>
  <si>
    <t xml:space="preserve">L-200 </t>
  </si>
  <si>
    <t xml:space="preserve">Nakrętka rewizji </t>
  </si>
  <si>
    <t xml:space="preserve">L-220 </t>
  </si>
  <si>
    <t xml:space="preserve">Uszczelka zapasowa </t>
  </si>
  <si>
    <t xml:space="preserve">L-250 </t>
  </si>
  <si>
    <t xml:space="preserve">Przejście adaptacyjne 90/110 </t>
  </si>
  <si>
    <t xml:space="preserve">L-300 </t>
  </si>
  <si>
    <t xml:space="preserve">Pasta poślizgowa </t>
  </si>
  <si>
    <t xml:space="preserve">/63 </t>
  </si>
  <si>
    <t xml:space="preserve">Redukcja </t>
  </si>
  <si>
    <t xml:space="preserve">/90 </t>
  </si>
  <si>
    <t xml:space="preserve">Redukcja odwrotna </t>
  </si>
  <si>
    <t xml:space="preserve">Hak obejmy L-120 </t>
  </si>
  <si>
    <t xml:space="preserve">Hak obejmy L-140 </t>
  </si>
  <si>
    <t xml:space="preserve">Hak obejmy L-160 </t>
  </si>
  <si>
    <t xml:space="preserve">Hak obejmy L-180 </t>
  </si>
  <si>
    <t xml:space="preserve">Hak obejmy L-200 </t>
  </si>
  <si>
    <t xml:space="preserve">Hak obejmy L-220 </t>
  </si>
  <si>
    <t xml:space="preserve">Hak obejmy L-250 </t>
  </si>
  <si>
    <t xml:space="preserve">Hak obejmy L-300 </t>
  </si>
  <si>
    <t xml:space="preserve">Łapacz deszczówki </t>
  </si>
  <si>
    <t>Osadnik do rur spustowych</t>
  </si>
  <si>
    <t xml:space="preserve">Śruba L-100 </t>
  </si>
  <si>
    <t xml:space="preserve">Śruba L-140 </t>
  </si>
  <si>
    <t xml:space="preserve">Śruba L-180 </t>
  </si>
  <si>
    <t xml:space="preserve">Śruba L-220 </t>
  </si>
  <si>
    <t xml:space="preserve">Śruba L-250 </t>
  </si>
  <si>
    <t xml:space="preserve">Śruba L-300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</si>
</sst>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&quot;-&quot;mm&quot;-&quot;yyyy"/>
    <numFmt numFmtId="165" formatCode="#,##0.00\ [$zł-415]"/>
  </numFmts>
  <fonts count="27">
    <font>
      <sz val="10.0"/>
      <color rgb="FF000000"/>
      <name val="Arial"/>
      <scheme val="minor"/>
    </font>
    <font>
      <color theme="1"/>
      <name val="Arial"/>
      <scheme val="minor"/>
    </font>
    <font/>
    <font>
      <b/>
      <sz val="12.0"/>
      <color rgb="FF000000"/>
      <name val="Arial"/>
      <scheme val="minor"/>
    </font>
    <font>
      <sz val="14.0"/>
      <color theme="1"/>
      <name val="Arial"/>
      <scheme val="minor"/>
    </font>
    <font>
      <b/>
      <sz val="12.0"/>
      <color theme="1"/>
      <name val="Arial"/>
      <scheme val="minor"/>
    </font>
    <font>
      <b/>
      <sz val="10.0"/>
      <color theme="1"/>
      <name val="Arial"/>
      <scheme val="minor"/>
    </font>
    <font>
      <sz val="10.0"/>
      <color theme="1"/>
      <name val="Arial"/>
      <scheme val="minor"/>
    </font>
    <font>
      <b/>
      <sz val="8.0"/>
      <color theme="1"/>
      <name val="Arial"/>
      <scheme val="minor"/>
    </font>
    <font>
      <sz val="9.0"/>
      <color theme="1"/>
      <name val="Arial"/>
      <scheme val="minor"/>
    </font>
    <font>
      <sz val="12.0"/>
      <color theme="1"/>
      <name val="Arial"/>
      <scheme val="minor"/>
    </font>
    <font>
      <b/>
      <sz val="9.0"/>
      <color theme="1"/>
      <name val="Arial"/>
      <scheme val="minor"/>
    </font>
    <font>
      <b/>
      <sz val="18.0"/>
      <color rgb="FF000000"/>
      <name val="Arial"/>
      <scheme val="minor"/>
    </font>
    <font>
      <b/>
      <sz val="14.0"/>
      <color rgb="FF000000"/>
      <name val="Arial"/>
      <scheme val="minor"/>
    </font>
    <font>
      <sz val="8.0"/>
      <color rgb="FF000000"/>
      <name val="Arial"/>
      <scheme val="minor"/>
    </font>
    <font>
      <sz val="8.0"/>
      <color theme="1"/>
      <name val="Arial"/>
      <scheme val="minor"/>
    </font>
    <font>
      <b/>
      <color theme="1"/>
      <name val="Arial"/>
      <scheme val="minor"/>
    </font>
    <font>
      <sz val="11.0"/>
      <color theme="1"/>
      <name val="Arial"/>
      <scheme val="minor"/>
    </font>
    <font>
      <sz val="12.0"/>
      <color rgb="FF000000"/>
      <name val="Arial"/>
      <scheme val="minor"/>
    </font>
    <font>
      <b/>
      <sz val="18.0"/>
      <color theme="1"/>
      <name val="Arial"/>
      <scheme val="minor"/>
    </font>
    <font>
      <b/>
      <sz val="18.0"/>
      <color rgb="FFFF0000"/>
      <name val="Arial"/>
      <scheme val="minor"/>
    </font>
    <font>
      <b/>
      <sz val="14.0"/>
      <color rgb="FFFF0000"/>
      <name val="Arial"/>
      <scheme val="minor"/>
    </font>
    <font>
      <sz val="18.0"/>
      <color theme="1"/>
      <name val="Arial"/>
      <scheme val="minor"/>
    </font>
    <font>
      <color rgb="FF990000"/>
      <name val="Arial"/>
      <scheme val="minor"/>
    </font>
    <font>
      <b/>
      <sz val="36.0"/>
      <color theme="1"/>
      <name val="Arial"/>
      <scheme val="minor"/>
    </font>
    <font>
      <sz val="11.0"/>
      <color rgb="FF000000"/>
      <name val="Inconsolata"/>
    </font>
    <font>
      <color rgb="FF000000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59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2" fillId="0" fontId="3" numFmtId="0" xfId="0" applyAlignment="1" applyBorder="1" applyFont="1">
      <alignment readingOrder="0" shrinkToFit="0" vertical="center" wrapText="0"/>
    </xf>
    <xf borderId="4" fillId="0" fontId="2" numFmtId="0" xfId="0" applyBorder="1" applyFont="1"/>
    <xf borderId="5" fillId="0" fontId="2" numFmtId="0" xfId="0" applyBorder="1" applyFont="1"/>
    <xf borderId="0" fillId="0" fontId="3" numFmtId="0" xfId="0" applyAlignment="1" applyFont="1">
      <alignment readingOrder="0" shrinkToFit="0" vertical="center" wrapText="0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7" fillId="0" fontId="3" numFmtId="0" xfId="0" applyAlignment="1" applyBorder="1" applyFont="1">
      <alignment readingOrder="0" shrinkToFit="0" vertical="center" wrapText="0"/>
    </xf>
    <xf borderId="2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3" numFmtId="0" xfId="0" applyAlignment="1" applyFont="1">
      <alignment shrinkToFit="0" vertical="center" wrapText="0"/>
    </xf>
    <xf borderId="9" fillId="2" fontId="4" numFmtId="0" xfId="0" applyAlignment="1" applyBorder="1" applyFill="1" applyFont="1">
      <alignment horizontal="right" readingOrder="0" vertical="center"/>
    </xf>
    <xf borderId="10" fillId="0" fontId="2" numFmtId="0" xfId="0" applyBorder="1" applyFont="1"/>
    <xf borderId="11" fillId="0" fontId="5" numFmtId="0" xfId="0" applyAlignment="1" applyBorder="1" applyFont="1">
      <alignment readingOrder="0" vertical="center"/>
    </xf>
    <xf borderId="11" fillId="0" fontId="2" numFmtId="0" xfId="0" applyBorder="1" applyFont="1"/>
    <xf borderId="12" fillId="0" fontId="2" numFmtId="0" xfId="0" applyBorder="1" applyFont="1"/>
    <xf borderId="0" fillId="0" fontId="1" numFmtId="0" xfId="0" applyAlignment="1" applyFont="1">
      <alignment readingOrder="0" vertical="center"/>
    </xf>
    <xf borderId="13" fillId="2" fontId="4" numFmtId="0" xfId="0" applyAlignment="1" applyBorder="1" applyFont="1">
      <alignment horizontal="right" readingOrder="0" vertical="center"/>
    </xf>
    <xf borderId="14" fillId="0" fontId="2" numFmtId="0" xfId="0" applyBorder="1" applyFont="1"/>
    <xf borderId="15" fillId="0" fontId="6" numFmtId="0" xfId="0" applyAlignment="1" applyBorder="1" applyFont="1">
      <alignment horizontal="left" readingOrder="0" vertical="center"/>
    </xf>
    <xf borderId="16" fillId="0" fontId="2" numFmtId="0" xfId="0" applyBorder="1" applyFont="1"/>
    <xf borderId="17" fillId="0" fontId="2" numFmtId="0" xfId="0" applyBorder="1" applyFont="1"/>
    <xf borderId="0" fillId="0" fontId="1" numFmtId="164" xfId="0" applyAlignment="1" applyFont="1" applyNumberFormat="1">
      <alignment vertical="center"/>
    </xf>
    <xf borderId="18" fillId="2" fontId="7" numFmtId="0" xfId="0" applyAlignment="1" applyBorder="1" applyFont="1">
      <alignment horizontal="right" readingOrder="0" vertical="center"/>
    </xf>
    <xf borderId="19" fillId="0" fontId="2" numFmtId="0" xfId="0" applyBorder="1" applyFont="1"/>
    <xf borderId="20" fillId="0" fontId="8" numFmtId="0" xfId="0" applyAlignment="1" applyBorder="1" applyFont="1">
      <alignment readingOrder="0" vertical="center"/>
    </xf>
    <xf borderId="19" fillId="0" fontId="9" numFmtId="0" xfId="0" applyAlignment="1" applyBorder="1" applyFont="1">
      <alignment horizontal="right" readingOrder="0" vertical="center"/>
    </xf>
    <xf borderId="21" fillId="0" fontId="9" numFmtId="14" xfId="0" applyAlignment="1" applyBorder="1" applyFont="1" applyNumberFormat="1">
      <alignment horizontal="right" readingOrder="0" vertical="center"/>
    </xf>
    <xf borderId="21" fillId="0" fontId="10" numFmtId="164" xfId="0" applyAlignment="1" applyBorder="1" applyFont="1" applyNumberFormat="1">
      <alignment horizontal="left" readingOrder="0" vertical="center"/>
    </xf>
    <xf borderId="22" fillId="2" fontId="7" numFmtId="0" xfId="0" applyAlignment="1" applyBorder="1" applyFont="1">
      <alignment horizontal="right" readingOrder="0" vertical="center"/>
    </xf>
    <xf borderId="23" fillId="0" fontId="2" numFmtId="0" xfId="0" applyBorder="1" applyFont="1"/>
    <xf borderId="24" fillId="0" fontId="8" numFmtId="0" xfId="0" applyAlignment="1" applyBorder="1" applyFont="1">
      <alignment readingOrder="0" vertical="center"/>
    </xf>
    <xf borderId="23" fillId="0" fontId="9" numFmtId="0" xfId="0" applyAlignment="1" applyBorder="1" applyFont="1">
      <alignment horizontal="right" readingOrder="0" vertical="center"/>
    </xf>
    <xf borderId="25" fillId="0" fontId="9" numFmtId="0" xfId="0" applyAlignment="1" applyBorder="1" applyFont="1">
      <alignment horizontal="right" readingOrder="0" vertical="center"/>
    </xf>
    <xf borderId="25" fillId="0" fontId="10" numFmtId="164" xfId="0" applyAlignment="1" applyBorder="1" applyFont="1" applyNumberFormat="1">
      <alignment horizontal="left" vertical="center"/>
    </xf>
    <xf borderId="1" fillId="0" fontId="11" numFmtId="0" xfId="0" applyAlignment="1" applyBorder="1" applyFont="1">
      <alignment readingOrder="0" vertical="center"/>
    </xf>
    <xf borderId="26" fillId="0" fontId="9" numFmtId="0" xfId="0" applyAlignment="1" applyBorder="1" applyFont="1">
      <alignment readingOrder="0" vertical="center"/>
    </xf>
    <xf borderId="27" fillId="0" fontId="9" numFmtId="0" xfId="0" applyAlignment="1" applyBorder="1" applyFont="1">
      <alignment readingOrder="0" vertical="center"/>
    </xf>
    <xf borderId="28" fillId="0" fontId="9" numFmtId="0" xfId="0" applyAlignment="1" applyBorder="1" applyFont="1">
      <alignment readingOrder="0" vertical="center"/>
    </xf>
    <xf borderId="4" fillId="0" fontId="12" numFmtId="0" xfId="0" applyAlignment="1" applyBorder="1" applyFont="1">
      <alignment horizontal="center" readingOrder="0" vertical="center"/>
    </xf>
    <xf borderId="29" fillId="0" fontId="2" numFmtId="0" xfId="0" applyBorder="1" applyFont="1"/>
    <xf borderId="30" fillId="0" fontId="13" numFmtId="0" xfId="0" applyAlignment="1" applyBorder="1" applyFont="1">
      <alignment horizontal="center" readingOrder="0" vertical="center"/>
    </xf>
    <xf borderId="31" fillId="0" fontId="3" numFmtId="0" xfId="0" applyAlignment="1" applyBorder="1" applyFont="1">
      <alignment horizontal="center" readingOrder="0" vertical="center"/>
    </xf>
    <xf borderId="32" fillId="0" fontId="2" numFmtId="0" xfId="0" applyBorder="1" applyFont="1"/>
    <xf borderId="33" fillId="0" fontId="2" numFmtId="0" xfId="0" applyBorder="1" applyFont="1"/>
    <xf borderId="34" fillId="0" fontId="2" numFmtId="0" xfId="0" applyBorder="1" applyFont="1"/>
    <xf borderId="4" fillId="0" fontId="0" numFmtId="0" xfId="0" applyAlignment="1" applyBorder="1" applyFont="1">
      <alignment horizontal="left" readingOrder="0" vertical="center"/>
    </xf>
    <xf borderId="0" fillId="0" fontId="0" numFmtId="0" xfId="0" applyAlignment="1" applyFont="1">
      <alignment horizontal="left" readingOrder="0" vertical="center"/>
    </xf>
    <xf borderId="15" fillId="0" fontId="0" numFmtId="2" xfId="0" applyAlignment="1" applyBorder="1" applyFont="1" applyNumberFormat="1">
      <alignment horizontal="left" readingOrder="0" vertical="center"/>
    </xf>
    <xf borderId="6" fillId="0" fontId="14" numFmtId="0" xfId="0" applyAlignment="1" applyBorder="1" applyFont="1">
      <alignment horizontal="left" readingOrder="0" shrinkToFit="0" vertical="center" wrapText="1"/>
    </xf>
    <xf borderId="34" fillId="0" fontId="15" numFmtId="0" xfId="0" applyAlignment="1" applyBorder="1" applyFont="1">
      <alignment shrinkToFit="0" wrapText="1"/>
    </xf>
    <xf borderId="7" fillId="0" fontId="1" numFmtId="0" xfId="0" applyAlignment="1" applyBorder="1" applyFont="1">
      <alignment readingOrder="0" vertical="center"/>
    </xf>
    <xf borderId="7" fillId="0" fontId="3" numFmtId="0" xfId="0" applyAlignment="1" applyBorder="1" applyFont="1">
      <alignment horizontal="center" readingOrder="0" vertical="center"/>
    </xf>
    <xf borderId="7" fillId="0" fontId="3" numFmtId="2" xfId="0" applyAlignment="1" applyBorder="1" applyFont="1" applyNumberFormat="1">
      <alignment horizontal="center" vertical="center"/>
    </xf>
    <xf borderId="35" fillId="2" fontId="3" numFmtId="0" xfId="0" applyAlignment="1" applyBorder="1" applyFont="1">
      <alignment horizontal="center" readingOrder="0" vertical="center"/>
    </xf>
    <xf borderId="36" fillId="0" fontId="2" numFmtId="0" xfId="0" applyBorder="1" applyFont="1"/>
    <xf borderId="37" fillId="2" fontId="3" numFmtId="0" xfId="0" applyAlignment="1" applyBorder="1" applyFont="1">
      <alignment horizontal="center" vertical="center"/>
    </xf>
    <xf borderId="37" fillId="2" fontId="3" numFmtId="0" xfId="0" applyAlignment="1" applyBorder="1" applyFont="1">
      <alignment horizontal="center" readingOrder="0" vertical="center"/>
    </xf>
    <xf borderId="38" fillId="2" fontId="3" numFmtId="0" xfId="0" applyAlignment="1" applyBorder="1" applyFont="1">
      <alignment horizontal="center" readingOrder="0" vertical="center"/>
    </xf>
    <xf borderId="39" fillId="2" fontId="3" numFmtId="0" xfId="0" applyAlignment="1" applyBorder="1" applyFont="1">
      <alignment horizontal="center" readingOrder="0" vertical="center"/>
    </xf>
    <xf borderId="40" fillId="2" fontId="3" numFmtId="2" xfId="0" applyAlignment="1" applyBorder="1" applyFont="1" applyNumberFormat="1">
      <alignment horizontal="center" readingOrder="0" vertical="center"/>
    </xf>
    <xf borderId="41" fillId="2" fontId="16" numFmtId="0" xfId="0" applyAlignment="1" applyBorder="1" applyFont="1">
      <alignment readingOrder="0" textRotation="90" vertical="center"/>
    </xf>
    <xf borderId="42" fillId="0" fontId="17" numFmtId="2" xfId="0" applyAlignment="1" applyBorder="1" applyFont="1" applyNumberFormat="1">
      <alignment horizontal="left" readingOrder="0" vertical="center"/>
    </xf>
    <xf borderId="43" fillId="0" fontId="2" numFmtId="0" xfId="0" applyBorder="1" applyFont="1"/>
    <xf borderId="44" fillId="0" fontId="18" numFmtId="0" xfId="0" applyAlignment="1" applyBorder="1" applyFont="1">
      <alignment horizontal="center" readingOrder="0" vertical="center"/>
    </xf>
    <xf borderId="44" fillId="0" fontId="18" numFmtId="165" xfId="0" applyAlignment="1" applyBorder="1" applyFont="1" applyNumberFormat="1">
      <alignment horizontal="center" vertical="center"/>
    </xf>
    <xf borderId="45" fillId="0" fontId="18" numFmtId="165" xfId="0" applyAlignment="1" applyBorder="1" applyFont="1" applyNumberFormat="1">
      <alignment horizontal="right" readingOrder="0" vertical="center"/>
    </xf>
    <xf borderId="46" fillId="0" fontId="18" numFmtId="165" xfId="0" applyAlignment="1" applyBorder="1" applyFont="1" applyNumberFormat="1">
      <alignment horizontal="right" vertical="center"/>
    </xf>
    <xf borderId="47" fillId="0" fontId="2" numFmtId="0" xfId="0" applyBorder="1" applyFont="1"/>
    <xf borderId="48" fillId="0" fontId="18" numFmtId="0" xfId="0" applyAlignment="1" applyBorder="1" applyFont="1">
      <alignment horizontal="center" readingOrder="0" vertical="center"/>
    </xf>
    <xf borderId="48" fillId="0" fontId="18" numFmtId="165" xfId="0" applyAlignment="1" applyBorder="1" applyFont="1" applyNumberFormat="1">
      <alignment horizontal="center" readingOrder="0" vertical="center"/>
    </xf>
    <xf borderId="4" fillId="0" fontId="17" numFmtId="2" xfId="0" applyAlignment="1" applyBorder="1" applyFont="1" applyNumberFormat="1">
      <alignment horizontal="left" readingOrder="0" vertical="center"/>
    </xf>
    <xf borderId="49" fillId="0" fontId="18" numFmtId="0" xfId="0" applyAlignment="1" applyBorder="1" applyFont="1">
      <alignment horizontal="center" readingOrder="0" vertical="center"/>
    </xf>
    <xf borderId="49" fillId="0" fontId="18" numFmtId="165" xfId="0" applyAlignment="1" applyBorder="1" applyFont="1" applyNumberFormat="1">
      <alignment horizontal="center" readingOrder="0" vertical="center"/>
    </xf>
    <xf borderId="50" fillId="0" fontId="18" numFmtId="165" xfId="0" applyAlignment="1" applyBorder="1" applyFont="1" applyNumberFormat="1">
      <alignment horizontal="right" readingOrder="0" vertical="center"/>
    </xf>
    <xf borderId="18" fillId="0" fontId="17" numFmtId="2" xfId="0" applyAlignment="1" applyBorder="1" applyFont="1" applyNumberFormat="1">
      <alignment horizontal="left" readingOrder="0" vertical="center"/>
    </xf>
    <xf borderId="51" fillId="0" fontId="2" numFmtId="0" xfId="0" applyBorder="1" applyFont="1"/>
    <xf borderId="52" fillId="0" fontId="18" numFmtId="165" xfId="0" applyAlignment="1" applyBorder="1" applyFont="1" applyNumberFormat="1">
      <alignment horizontal="right" readingOrder="0" vertical="center"/>
    </xf>
    <xf borderId="53" fillId="0" fontId="2" numFmtId="0" xfId="0" applyBorder="1" applyFont="1"/>
    <xf borderId="22" fillId="0" fontId="17" numFmtId="2" xfId="0" applyAlignment="1" applyBorder="1" applyFont="1" applyNumberFormat="1">
      <alignment horizontal="left" readingOrder="0" vertical="center"/>
    </xf>
    <xf borderId="54" fillId="0" fontId="2" numFmtId="0" xfId="0" applyBorder="1" applyFont="1"/>
    <xf borderId="55" fillId="0" fontId="18" numFmtId="0" xfId="0" applyAlignment="1" applyBorder="1" applyFont="1">
      <alignment horizontal="center" readingOrder="0" vertical="center"/>
    </xf>
    <xf borderId="55" fillId="0" fontId="18" numFmtId="165" xfId="0" applyAlignment="1" applyBorder="1" applyFont="1" applyNumberFormat="1">
      <alignment horizontal="center" readingOrder="0" vertical="center"/>
    </xf>
    <xf borderId="56" fillId="0" fontId="18" numFmtId="165" xfId="0" applyAlignment="1" applyBorder="1" applyFont="1" applyNumberFormat="1">
      <alignment horizontal="right" readingOrder="0" vertical="center"/>
    </xf>
    <xf borderId="8" fillId="0" fontId="18" numFmtId="165" xfId="0" applyAlignment="1" applyBorder="1" applyFont="1" applyNumberFormat="1">
      <alignment horizontal="right" vertical="center"/>
    </xf>
    <xf borderId="9" fillId="0" fontId="17" numFmtId="2" xfId="0" applyAlignment="1" applyBorder="1" applyFont="1" applyNumberFormat="1">
      <alignment horizontal="left" readingOrder="0" vertical="center"/>
    </xf>
    <xf borderId="57" fillId="0" fontId="18" numFmtId="0" xfId="0" applyAlignment="1" applyBorder="1" applyFont="1">
      <alignment horizontal="center" readingOrder="0" vertical="center"/>
    </xf>
    <xf borderId="57" fillId="0" fontId="18" numFmtId="165" xfId="0" applyAlignment="1" applyBorder="1" applyFont="1" applyNumberFormat="1">
      <alignment horizontal="center" readingOrder="0" vertical="center"/>
    </xf>
    <xf borderId="58" fillId="0" fontId="18" numFmtId="165" xfId="0" applyAlignment="1" applyBorder="1" applyFont="1" applyNumberFormat="1">
      <alignment horizontal="right" readingOrder="0" vertical="center"/>
    </xf>
    <xf borderId="12" fillId="0" fontId="18" numFmtId="165" xfId="0" applyAlignment="1" applyBorder="1" applyFont="1" applyNumberFormat="1">
      <alignment horizontal="right" vertical="center"/>
    </xf>
    <xf borderId="6" fillId="0" fontId="17" numFmtId="2" xfId="0" applyAlignment="1" applyBorder="1" applyFont="1" applyNumberFormat="1">
      <alignment horizontal="left" readingOrder="0" vertical="center"/>
    </xf>
    <xf borderId="47" fillId="2" fontId="16" numFmtId="0" xfId="0" applyAlignment="1" applyBorder="1" applyFont="1">
      <alignment readingOrder="0" textRotation="90" vertical="center"/>
    </xf>
    <xf borderId="1" fillId="0" fontId="17" numFmtId="2" xfId="0" applyAlignment="1" applyBorder="1" applyFont="1" applyNumberFormat="1">
      <alignment horizontal="left" readingOrder="0" vertical="center"/>
    </xf>
    <xf borderId="26" fillId="0" fontId="17" numFmtId="2" xfId="0" applyAlignment="1" applyBorder="1" applyFont="1" applyNumberFormat="1">
      <alignment horizontal="left" readingOrder="0" vertical="center"/>
    </xf>
    <xf borderId="13" fillId="0" fontId="17" numFmtId="2" xfId="0" applyAlignment="1" applyBorder="1" applyFont="1" applyNumberFormat="1">
      <alignment horizontal="left" readingOrder="0" vertical="center"/>
    </xf>
    <xf borderId="19" fillId="0" fontId="17" numFmtId="2" xfId="0" applyAlignment="1" applyBorder="1" applyFont="1" applyNumberFormat="1">
      <alignment horizontal="left" readingOrder="0" vertical="center"/>
    </xf>
    <xf borderId="33" fillId="0" fontId="18" numFmtId="165" xfId="0" applyAlignment="1" applyBorder="1" applyFont="1" applyNumberFormat="1">
      <alignment horizontal="center" vertical="center"/>
    </xf>
    <xf borderId="55" fillId="0" fontId="0" numFmtId="0" xfId="0" applyAlignment="1" applyBorder="1" applyFont="1">
      <alignment horizontal="center" readingOrder="0" vertical="center"/>
    </xf>
    <xf borderId="0" fillId="0" fontId="1" numFmtId="165" xfId="0" applyAlignment="1" applyFont="1" applyNumberFormat="1">
      <alignment horizontal="right" vertical="center"/>
    </xf>
    <xf borderId="1" fillId="2" fontId="10" numFmtId="0" xfId="0" applyAlignment="1" applyBorder="1" applyFont="1">
      <alignment horizontal="left" readingOrder="0" vertical="center"/>
    </xf>
    <xf borderId="2" fillId="2" fontId="10" numFmtId="165" xfId="0" applyAlignment="1" applyBorder="1" applyFont="1" applyNumberFormat="1">
      <alignment horizontal="right" readingOrder="0" vertical="center"/>
    </xf>
    <xf borderId="26" fillId="0" fontId="2" numFmtId="0" xfId="0" applyBorder="1" applyFont="1"/>
    <xf borderId="2" fillId="0" fontId="10" numFmtId="0" xfId="0" applyAlignment="1" applyBorder="1" applyFont="1">
      <alignment horizontal="center" readingOrder="0" vertical="center"/>
    </xf>
    <xf borderId="2" fillId="0" fontId="10" numFmtId="165" xfId="0" applyAlignment="1" applyBorder="1" applyFont="1" applyNumberFormat="1">
      <alignment horizontal="right" readingOrder="0" vertical="center"/>
    </xf>
    <xf borderId="40" fillId="0" fontId="10" numFmtId="165" xfId="0" applyAlignment="1" applyBorder="1" applyFont="1" applyNumberFormat="1">
      <alignment horizontal="right" readingOrder="0" vertical="center"/>
    </xf>
    <xf borderId="36" fillId="3" fontId="19" numFmtId="0" xfId="0" applyAlignment="1" applyBorder="1" applyFill="1" applyFont="1">
      <alignment horizontal="right" readingOrder="0" vertical="center"/>
    </xf>
    <xf borderId="36" fillId="3" fontId="20" numFmtId="9" xfId="0" applyAlignment="1" applyBorder="1" applyFont="1" applyNumberFormat="1">
      <alignment horizontal="left" readingOrder="0" vertical="center"/>
    </xf>
    <xf borderId="36" fillId="3" fontId="21" numFmtId="9" xfId="0" applyAlignment="1" applyBorder="1" applyFont="1" applyNumberFormat="1">
      <alignment horizontal="left" readingOrder="0" vertical="center"/>
    </xf>
    <xf borderId="5" fillId="0" fontId="9" numFmtId="165" xfId="0" applyAlignment="1" applyBorder="1" applyFont="1" applyNumberFormat="1">
      <alignment horizontal="left" readingOrder="0" vertical="center"/>
    </xf>
    <xf borderId="35" fillId="2" fontId="10" numFmtId="0" xfId="0" applyAlignment="1" applyBorder="1" applyFont="1">
      <alignment horizontal="left" readingOrder="0" shrinkToFit="0" vertical="center" wrapText="0"/>
    </xf>
    <xf borderId="7" fillId="2" fontId="22" numFmtId="165" xfId="0" applyAlignment="1" applyBorder="1" applyFont="1" applyNumberFormat="1">
      <alignment horizontal="center" readingOrder="0" vertical="center"/>
    </xf>
    <xf borderId="7" fillId="0" fontId="19" numFmtId="0" xfId="0" applyAlignment="1" applyBorder="1" applyFont="1">
      <alignment horizontal="left" readingOrder="0" vertical="center"/>
    </xf>
    <xf borderId="8" fillId="0" fontId="19" numFmtId="165" xfId="0" applyAlignment="1" applyBorder="1" applyFont="1" applyNumberFormat="1">
      <alignment horizontal="right" readingOrder="0" vertical="center"/>
    </xf>
    <xf borderId="40" fillId="0" fontId="19" numFmtId="165" xfId="0" applyAlignment="1" applyBorder="1" applyFont="1" applyNumberFormat="1">
      <alignment horizontal="right" readingOrder="0" vertical="center"/>
    </xf>
    <xf borderId="0" fillId="0" fontId="23" numFmtId="0" xfId="0" applyAlignment="1" applyFont="1">
      <alignment vertical="center"/>
    </xf>
    <xf borderId="35" fillId="0" fontId="16" numFmtId="0" xfId="0" applyAlignment="1" applyBorder="1" applyFont="1">
      <alignment readingOrder="0"/>
    </xf>
    <xf borderId="36" fillId="0" fontId="16" numFmtId="0" xfId="0" applyAlignment="1" applyBorder="1" applyFont="1">
      <alignment readingOrder="0"/>
    </xf>
    <xf borderId="36" fillId="0" fontId="16" numFmtId="0" xfId="0" applyAlignment="1" applyBorder="1" applyFont="1">
      <alignment horizontal="right" readingOrder="0"/>
    </xf>
    <xf borderId="36" fillId="0" fontId="1" numFmtId="0" xfId="0" applyAlignment="1" applyBorder="1" applyFont="1">
      <alignment readingOrder="0"/>
    </xf>
    <xf borderId="36" fillId="0" fontId="1" numFmtId="165" xfId="0" applyAlignment="1" applyBorder="1" applyFont="1" applyNumberFormat="1">
      <alignment readingOrder="0"/>
    </xf>
    <xf borderId="40" fillId="0" fontId="1" numFmtId="165" xfId="0" applyAlignment="1" applyBorder="1" applyFont="1" applyNumberFormat="1">
      <alignment readingOrder="0"/>
    </xf>
    <xf borderId="0" fillId="0" fontId="1" numFmtId="0" xfId="0" applyAlignment="1" applyFont="1">
      <alignment readingOrder="0"/>
    </xf>
    <xf borderId="41" fillId="0" fontId="24" numFmtId="0" xfId="0" applyAlignment="1" applyBorder="1" applyFont="1">
      <alignment horizontal="center" readingOrder="0" textRotation="90" vertical="center"/>
    </xf>
    <xf borderId="4" fillId="0" fontId="1" numFmtId="0" xfId="0" applyAlignment="1" applyBorder="1" applyFont="1">
      <alignment readingOrder="0"/>
    </xf>
    <xf borderId="0" fillId="0" fontId="15" numFmtId="0" xfId="0" applyAlignment="1" applyFont="1">
      <alignment readingOrder="0"/>
    </xf>
    <xf borderId="0" fillId="0" fontId="1" numFmtId="0" xfId="0" applyAlignment="1" applyFont="1">
      <alignment horizontal="right" readingOrder="0"/>
    </xf>
    <xf borderId="0" fillId="0" fontId="1" numFmtId="0" xfId="0" applyFont="1"/>
    <xf borderId="0" fillId="0" fontId="1" numFmtId="165" xfId="0" applyAlignment="1" applyFont="1" applyNumberFormat="1">
      <alignment readingOrder="0"/>
    </xf>
    <xf borderId="0" fillId="0" fontId="1" numFmtId="165" xfId="0" applyFont="1" applyNumberFormat="1"/>
    <xf borderId="1" fillId="0" fontId="1" numFmtId="0" xfId="0" applyAlignment="1" applyBorder="1" applyFont="1">
      <alignment readingOrder="0"/>
    </xf>
    <xf borderId="35" fillId="0" fontId="1" numFmtId="0" xfId="0" applyAlignment="1" applyBorder="1" applyFont="1">
      <alignment readingOrder="0"/>
    </xf>
    <xf borderId="6" fillId="0" fontId="1" numFmtId="0" xfId="0" applyAlignment="1" applyBorder="1" applyFont="1">
      <alignment readingOrder="0"/>
    </xf>
    <xf borderId="0" fillId="4" fontId="25" numFmtId="0" xfId="0" applyFill="1" applyFont="1"/>
    <xf borderId="7" fillId="0" fontId="15" numFmtId="0" xfId="0" applyAlignment="1" applyBorder="1" applyFont="1">
      <alignment readingOrder="0"/>
    </xf>
    <xf borderId="7" fillId="0" fontId="1" numFmtId="0" xfId="0" applyAlignment="1" applyBorder="1" applyFont="1">
      <alignment horizontal="right" readingOrder="0"/>
    </xf>
    <xf borderId="7" fillId="0" fontId="1" numFmtId="0" xfId="0" applyBorder="1" applyFont="1"/>
    <xf borderId="7" fillId="0" fontId="1" numFmtId="165" xfId="0" applyAlignment="1" applyBorder="1" applyFont="1" applyNumberFormat="1">
      <alignment readingOrder="0"/>
    </xf>
    <xf borderId="7" fillId="0" fontId="1" numFmtId="165" xfId="0" applyBorder="1" applyFont="1" applyNumberFormat="1"/>
    <xf borderId="0" fillId="4" fontId="26" numFmtId="165" xfId="0" applyAlignment="1" applyFont="1" applyNumberFormat="1">
      <alignment readingOrder="0"/>
    </xf>
    <xf borderId="4" fillId="4" fontId="26" numFmtId="0" xfId="0" applyAlignment="1" applyBorder="1" applyFont="1">
      <alignment readingOrder="0"/>
    </xf>
    <xf borderId="0" fillId="4" fontId="26" numFmtId="0" xfId="0" applyAlignment="1" applyFont="1">
      <alignment readingOrder="0"/>
    </xf>
    <xf borderId="0" fillId="0" fontId="1" numFmtId="0" xfId="0" applyAlignment="1" applyFont="1">
      <alignment horizontal="right"/>
    </xf>
  </cellXfs>
  <cellStyles count="1">
    <cellStyle xfId="0" name="Normal" builtinId="0"/>
  </cellStyles>
  <dxfs count="3">
    <dxf>
      <font/>
      <fill>
        <patternFill patternType="solid">
          <fgColor rgb="FFFFF2CC"/>
          <bgColor rgb="FFFFF2CC"/>
        </patternFill>
      </fill>
      <border/>
    </dxf>
    <dxf>
      <font/>
      <fill>
        <patternFill patternType="solid">
          <fgColor rgb="FFEA9999"/>
          <bgColor rgb="FFEA9999"/>
        </patternFill>
      </fill>
      <border/>
    </dxf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0</xdr:row>
      <xdr:rowOff>0</xdr:rowOff>
    </xdr:from>
    <xdr:ext cx="581025" cy="2000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75"/>
  <cols>
    <col customWidth="1" hidden="1" min="1" max="1" width="37.63"/>
    <col customWidth="1" min="2" max="2" width="4.38"/>
    <col customWidth="1" min="3" max="3" width="15.75"/>
    <col customWidth="1" min="4" max="4" width="10.25"/>
    <col customWidth="1" min="5" max="5" width="11.13"/>
    <col customWidth="1" min="6" max="7" width="12.88"/>
    <col customWidth="1" min="8" max="8" width="14.25"/>
    <col customWidth="1" hidden="1" min="9" max="9" width="19.13"/>
    <col customWidth="1" min="10" max="10" width="9.0"/>
    <col hidden="1" min="11" max="12" width="12.63"/>
  </cols>
  <sheetData>
    <row r="1">
      <c r="A1" s="1"/>
      <c r="B1" s="1"/>
      <c r="C1" s="2"/>
      <c r="D1" s="3"/>
      <c r="E1" s="4"/>
      <c r="F1" s="5" t="s">
        <v>0</v>
      </c>
      <c r="G1" s="3"/>
      <c r="H1" s="3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>
      <c r="A2" s="1"/>
      <c r="B2" s="1"/>
      <c r="C2" s="6"/>
      <c r="E2" s="7"/>
      <c r="F2" s="8" t="s">
        <v>1</v>
      </c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>
      <c r="A3" s="1"/>
      <c r="B3" s="1"/>
      <c r="C3" s="6"/>
      <c r="E3" s="7"/>
      <c r="F3" s="8" t="s">
        <v>2</v>
      </c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>
      <c r="A4" s="1"/>
      <c r="B4" s="1"/>
      <c r="C4" s="9"/>
      <c r="D4" s="10"/>
      <c r="E4" s="11"/>
      <c r="F4" s="12" t="s">
        <v>3</v>
      </c>
      <c r="G4" s="10"/>
      <c r="H4" s="10"/>
      <c r="I4" s="1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>
      <c r="A5" s="1"/>
      <c r="B5" s="1"/>
      <c r="C5" s="13"/>
      <c r="D5" s="14"/>
      <c r="E5" s="14"/>
      <c r="F5" s="14"/>
      <c r="G5" s="15"/>
      <c r="H5" s="1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ht="21.75" customHeight="1">
      <c r="A6" s="1"/>
      <c r="B6" s="1"/>
      <c r="C6" s="16" t="s">
        <v>4</v>
      </c>
      <c r="D6" s="17"/>
      <c r="E6" s="18"/>
      <c r="F6" s="19"/>
      <c r="G6" s="19"/>
      <c r="H6" s="19"/>
      <c r="I6" s="20"/>
      <c r="J6" s="21"/>
      <c r="K6" s="21" t="s">
        <v>5</v>
      </c>
      <c r="L6" s="21" t="s">
        <v>6</v>
      </c>
      <c r="M6" s="2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ht="21.75" customHeight="1">
      <c r="A7" s="1"/>
      <c r="B7" s="1"/>
      <c r="C7" s="22" t="s">
        <v>7</v>
      </c>
      <c r="D7" s="23"/>
      <c r="E7" s="24"/>
      <c r="F7" s="25"/>
      <c r="G7" s="25"/>
      <c r="H7" s="25"/>
      <c r="I7" s="26"/>
      <c r="J7" s="1"/>
      <c r="K7" s="21" t="s">
        <v>8</v>
      </c>
      <c r="L7" s="27">
        <f>TODAY()</f>
        <v>44767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ht="19.5" customHeight="1">
      <c r="A8" s="1"/>
      <c r="B8" s="1"/>
      <c r="C8" s="28" t="s">
        <v>9</v>
      </c>
      <c r="D8" s="29"/>
      <c r="E8" s="30"/>
      <c r="F8" s="29"/>
      <c r="G8" s="31" t="s">
        <v>6</v>
      </c>
      <c r="H8" s="32">
        <f>TODAY()</f>
        <v>44767</v>
      </c>
      <c r="I8" s="33"/>
      <c r="J8" s="1"/>
      <c r="K8" s="21" t="s">
        <v>10</v>
      </c>
      <c r="L8" s="27">
        <f>TODAY()-1</f>
        <v>44766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ht="19.5" customHeight="1">
      <c r="A9" s="1"/>
      <c r="B9" s="1"/>
      <c r="C9" s="34" t="s">
        <v>5</v>
      </c>
      <c r="D9" s="35"/>
      <c r="E9" s="36"/>
      <c r="F9" s="35"/>
      <c r="G9" s="37" t="s">
        <v>11</v>
      </c>
      <c r="H9" s="38"/>
      <c r="I9" s="39"/>
      <c r="J9" s="1"/>
      <c r="K9" s="21" t="s">
        <v>12</v>
      </c>
      <c r="L9" s="27">
        <f>TODAY()-2</f>
        <v>44765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>
      <c r="A10" s="1"/>
      <c r="B10" s="1"/>
      <c r="C10" s="1"/>
      <c r="D10" s="1"/>
      <c r="E10" s="1"/>
      <c r="F10" s="1"/>
      <c r="G10" s="1"/>
      <c r="H10" s="1"/>
      <c r="I10" s="1"/>
      <c r="J10" s="1"/>
      <c r="K10" s="21" t="s">
        <v>13</v>
      </c>
      <c r="L10" s="27">
        <f>TODAY()-3</f>
        <v>44764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>
      <c r="A11" s="1"/>
      <c r="B11" s="1"/>
      <c r="C11" s="40" t="s">
        <v>14</v>
      </c>
      <c r="D11" s="3"/>
      <c r="E11" s="41"/>
      <c r="F11" s="42" t="s">
        <v>15</v>
      </c>
      <c r="G11" s="42" t="s">
        <v>16</v>
      </c>
      <c r="H11" s="43" t="s">
        <v>17</v>
      </c>
      <c r="I11" s="4"/>
      <c r="J11" s="1"/>
      <c r="K11" s="21" t="s">
        <v>18</v>
      </c>
      <c r="L11" s="27">
        <f>TODAY()-4</f>
        <v>44763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ht="19.5" customHeight="1">
      <c r="A12" s="1"/>
      <c r="B12" s="1"/>
      <c r="C12" s="44" t="s">
        <v>19</v>
      </c>
      <c r="E12" s="45"/>
      <c r="F12" s="46">
        <v>125.0</v>
      </c>
      <c r="G12" s="46">
        <v>90.0</v>
      </c>
      <c r="H12" s="47" t="s">
        <v>20</v>
      </c>
      <c r="I12" s="7"/>
      <c r="J12" s="1"/>
      <c r="K12" s="21" t="s">
        <v>21</v>
      </c>
      <c r="L12" s="27">
        <f>TODAY()-5</f>
        <v>44762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ht="19.5" customHeight="1">
      <c r="A13" s="1"/>
      <c r="B13" s="1"/>
      <c r="C13" s="9"/>
      <c r="D13" s="10"/>
      <c r="E13" s="48"/>
      <c r="F13" s="49"/>
      <c r="G13" s="49"/>
      <c r="H13" s="50"/>
      <c r="I13" s="11"/>
      <c r="J13" s="1"/>
      <c r="K13" s="2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>
      <c r="A14" s="1"/>
      <c r="B14" s="1"/>
      <c r="C14" s="51" t="s">
        <v>22</v>
      </c>
      <c r="F14" s="52"/>
      <c r="G14" s="53" t="s">
        <v>23</v>
      </c>
      <c r="H14" s="25"/>
      <c r="I14" s="2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>
      <c r="A15" s="1"/>
      <c r="B15" s="1"/>
      <c r="C15" s="54" t="str">
        <f>IFERROR(VLOOKUP(C12,'Rynny Gamrat'!L71:M73,2,0),"")</f>
        <v>75/63, 100/63, 100/90, 125/90, 125/110, 150/110 </v>
      </c>
      <c r="D15" s="10"/>
      <c r="E15" s="10"/>
      <c r="F15" s="10"/>
      <c r="G15" s="55" t="str">
        <f>IFERROR(VLOOKUP(C12,'Rynny Gamrat'!L71:N73,3,0),"")</f>
        <v>czarny, ciemnobrązowy, grafitowy, biały, popielaty </v>
      </c>
      <c r="H15" s="10"/>
      <c r="I15" s="1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>
      <c r="A16" s="1"/>
      <c r="B16" s="1"/>
      <c r="C16" s="21"/>
      <c r="D16" s="56"/>
      <c r="E16" s="57"/>
      <c r="F16" s="57"/>
      <c r="G16" s="57"/>
      <c r="H16" s="57"/>
      <c r="I16" s="58"/>
      <c r="J16" s="2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>
      <c r="A17" s="1"/>
      <c r="B17" s="1"/>
      <c r="C17" s="59" t="s">
        <v>24</v>
      </c>
      <c r="D17" s="60"/>
      <c r="E17" s="61" t="s">
        <v>25</v>
      </c>
      <c r="F17" s="62" t="s">
        <v>26</v>
      </c>
      <c r="G17" s="63" t="s">
        <v>27</v>
      </c>
      <c r="H17" s="64" t="s">
        <v>28</v>
      </c>
      <c r="I17" s="65" t="s">
        <v>29</v>
      </c>
      <c r="J17" s="21"/>
      <c r="K17" s="1"/>
      <c r="L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ht="15.75" customHeight="1">
      <c r="A18" s="1" t="str">
        <f t="shared" ref="A18:A21" si="1">IF(C18="Lej spustowy ",($C$12&amp;C18&amp;$F$12&amp;$G$12),IF(AND(C18="Denko prawe/lewe",C7="Metalowe "),C7&amp;C7&amp;"Denko uniwersalne "&amp;$F$12,($C$12&amp;C18&amp;$F$12)))</f>
        <v>PVC Rynna 4m 125</v>
      </c>
      <c r="B18" s="66" t="s">
        <v>30</v>
      </c>
      <c r="C18" s="67" t="s">
        <v>31</v>
      </c>
      <c r="D18" s="68"/>
      <c r="E18" s="69"/>
      <c r="F18" s="70">
        <f>IF(C18=0,"",(IFERROR(VLOOKUP(A18,'Rynny Gamrat'!$H$71:$J$268,2,0),"Brak")))</f>
        <v>76.88</v>
      </c>
      <c r="G18" s="70">
        <f t="shared" ref="G18:G50" si="2">IF(OR(F18="Brak",F18=""),"",F18*1.23)</f>
        <v>94.5624</v>
      </c>
      <c r="H18" s="71" t="str">
        <f t="shared" ref="H18:H50" si="3">IFERROR(IF((F18*E18),F18*E18,""),"")</f>
        <v/>
      </c>
      <c r="I18" s="72" t="str">
        <f t="shared" ref="I18:I50" si="4">IF(G18*E18,G18*E18,"")</f>
        <v/>
      </c>
      <c r="J18" s="1"/>
      <c r="K18" s="1"/>
      <c r="L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ht="15.75" customHeight="1">
      <c r="A19" s="1" t="str">
        <f t="shared" si="1"/>
        <v>PVC Rynna 3m 125</v>
      </c>
      <c r="B19" s="73"/>
      <c r="C19" s="67" t="s">
        <v>32</v>
      </c>
      <c r="D19" s="68"/>
      <c r="E19" s="74"/>
      <c r="F19" s="70">
        <f>IF(C19=0,"",(IFERROR(VLOOKUP(A19,'Rynny Gamrat'!$H$71:$J$268,2,0),"Brak")))</f>
        <v>57.66</v>
      </c>
      <c r="G19" s="70">
        <f t="shared" si="2"/>
        <v>70.9218</v>
      </c>
      <c r="H19" s="71" t="str">
        <f t="shared" si="3"/>
        <v/>
      </c>
      <c r="I19" s="72" t="str">
        <f t="shared" si="4"/>
        <v/>
      </c>
      <c r="J19" s="1"/>
      <c r="K19" s="21"/>
      <c r="L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ht="15.75" customHeight="1">
      <c r="A20" s="1" t="str">
        <f t="shared" si="1"/>
        <v>PVC Złączka rynny 125</v>
      </c>
      <c r="B20" s="73"/>
      <c r="C20" s="67" t="s">
        <v>33</v>
      </c>
      <c r="D20" s="68"/>
      <c r="E20" s="74"/>
      <c r="F20" s="70">
        <f>IF(C20=0,"",(IFERROR(VLOOKUP(A20,'Rynny Gamrat'!$H$71:$J$268,2,0),"Brak")))</f>
        <v>22.4</v>
      </c>
      <c r="G20" s="70">
        <f t="shared" si="2"/>
        <v>27.552</v>
      </c>
      <c r="H20" s="71" t="str">
        <f t="shared" si="3"/>
        <v/>
      </c>
      <c r="I20" s="72" t="str">
        <f t="shared" si="4"/>
        <v/>
      </c>
      <c r="J20" s="1"/>
      <c r="K20" s="1"/>
      <c r="L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ht="15.75" customHeight="1">
      <c r="A21" s="1" t="str">
        <f t="shared" si="1"/>
        <v>PVC Rynhak 125</v>
      </c>
      <c r="B21" s="73"/>
      <c r="C21" s="67" t="s">
        <v>34</v>
      </c>
      <c r="D21" s="68"/>
      <c r="E21" s="74"/>
      <c r="F21" s="70">
        <f>IF(C21=0,"",(IFERROR(VLOOKUP(A21,'Rynny Gamrat'!$H$71:$J$268,2,0),"Brak")))</f>
        <v>8.34</v>
      </c>
      <c r="G21" s="70">
        <f t="shared" si="2"/>
        <v>10.2582</v>
      </c>
      <c r="H21" s="71" t="str">
        <f t="shared" si="3"/>
        <v/>
      </c>
      <c r="I21" s="72" t="str">
        <f t="shared" si="4"/>
        <v/>
      </c>
      <c r="J21" s="1"/>
      <c r="K21" s="1"/>
      <c r="L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ht="15.75" customHeight="1">
      <c r="A22" s="1" t="str">
        <f>IF(C22="Lej spustowy ",($C$12&amp;C22&amp;$F$12&amp;$G$12),IF(AND(C22="Denko prawe/lewe",C12="Metalowe "),C12&amp;"Denko uniwersalne "&amp;$F$12,($C$12&amp;C22&amp;$F$12)))</f>
        <v>PVC Denko prawe/lewe125</v>
      </c>
      <c r="B22" s="73"/>
      <c r="C22" s="67" t="s">
        <v>35</v>
      </c>
      <c r="D22" s="68"/>
      <c r="E22" s="74"/>
      <c r="F22" s="70">
        <f>IF(C22=0,"",(IFERROR(VLOOKUP(A22,'Rynny Gamrat'!$H$71:$J$268,2,0),"Brak")))</f>
        <v>11.14</v>
      </c>
      <c r="G22" s="70">
        <f t="shared" si="2"/>
        <v>13.7022</v>
      </c>
      <c r="H22" s="71" t="str">
        <f t="shared" si="3"/>
        <v/>
      </c>
      <c r="I22" s="72" t="str">
        <f t="shared" si="4"/>
        <v/>
      </c>
      <c r="J22" s="1"/>
      <c r="L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ht="15.75" customHeight="1">
      <c r="A23" s="1" t="str">
        <f t="shared" ref="A23:A29" si="5">IF(C23="Lej spustowy ",($C$12&amp;C23&amp;$F$12&amp;$G$12),IF(AND(C23="Denko prawe/lewe",C12="Metalowe "),C12&amp;C12&amp;"Denko uniwersalne "&amp;$F$12,($C$12&amp;C23&amp;$F$12)))</f>
        <v>PVC Lej spustowy 12590</v>
      </c>
      <c r="B23" s="73"/>
      <c r="C23" s="67" t="s">
        <v>36</v>
      </c>
      <c r="D23" s="68"/>
      <c r="E23" s="74"/>
      <c r="F23" s="70">
        <f>IF(C23=0,"",(IFERROR(VLOOKUP(A23,'Rynny Gamrat'!$H$71:$J$268,2,0),"Brak")))</f>
        <v>26.69</v>
      </c>
      <c r="G23" s="70">
        <f t="shared" si="2"/>
        <v>32.8287</v>
      </c>
      <c r="H23" s="71" t="str">
        <f t="shared" si="3"/>
        <v/>
      </c>
      <c r="I23" s="72" t="str">
        <f t="shared" si="4"/>
        <v/>
      </c>
      <c r="J23" s="1"/>
      <c r="K23" s="1"/>
      <c r="L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ht="15.75" customHeight="1">
      <c r="A24" s="1" t="str">
        <f t="shared" si="5"/>
        <v>PVC 125</v>
      </c>
      <c r="B24" s="73"/>
      <c r="C24" s="67"/>
      <c r="D24" s="68"/>
      <c r="E24" s="74"/>
      <c r="F24" s="70" t="str">
        <f>IF(C24=0,"",(IFERROR(VLOOKUP(A24,'Rynny Gamrat'!$H$71:$J$268,2,0),"Brak")))</f>
        <v/>
      </c>
      <c r="G24" s="70" t="str">
        <f t="shared" si="2"/>
        <v/>
      </c>
      <c r="H24" s="71" t="str">
        <f t="shared" si="3"/>
        <v/>
      </c>
      <c r="I24" s="72" t="str">
        <f t="shared" si="4"/>
        <v/>
      </c>
      <c r="J24" s="1"/>
      <c r="K24" s="1"/>
      <c r="L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ht="15.75" customHeight="1">
      <c r="A25" s="1" t="str">
        <f t="shared" si="5"/>
        <v>PVC 125</v>
      </c>
      <c r="B25" s="73"/>
      <c r="C25" s="67"/>
      <c r="D25" s="68"/>
      <c r="E25" s="74"/>
      <c r="F25" s="75" t="str">
        <f>IF(C25=0,"",(IFERROR(VLOOKUP(A25,'Rynny Gamrat'!$H$71:$J$268,2,0),"Brak")))</f>
        <v/>
      </c>
      <c r="G25" s="75" t="str">
        <f t="shared" si="2"/>
        <v/>
      </c>
      <c r="H25" s="71" t="str">
        <f t="shared" si="3"/>
        <v/>
      </c>
      <c r="I25" s="72" t="str">
        <f t="shared" si="4"/>
        <v/>
      </c>
      <c r="J25" s="1"/>
      <c r="K25" s="1"/>
      <c r="L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ht="15.75" hidden="1" customHeight="1">
      <c r="A26" s="1" t="str">
        <f t="shared" si="5"/>
        <v>PVC 125</v>
      </c>
      <c r="B26" s="73"/>
      <c r="C26" s="76"/>
      <c r="D26" s="45"/>
      <c r="E26" s="77"/>
      <c r="F26" s="78" t="str">
        <f>IF(C26=0,"",(IFERROR(VLOOKUP(A26,'Rynny Gamrat'!$H$71:$J$268,2,0),"Brak")))</f>
        <v/>
      </c>
      <c r="G26" s="78" t="str">
        <f t="shared" si="2"/>
        <v/>
      </c>
      <c r="H26" s="79" t="str">
        <f t="shared" si="3"/>
        <v/>
      </c>
      <c r="I26" s="79" t="str">
        <f t="shared" si="4"/>
        <v/>
      </c>
      <c r="J26" s="1"/>
      <c r="K26" s="1"/>
      <c r="L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ht="15.75" hidden="1" customHeight="1">
      <c r="A27" s="1" t="str">
        <f t="shared" si="5"/>
        <v>PVC 125</v>
      </c>
      <c r="B27" s="73"/>
      <c r="C27" s="80"/>
      <c r="D27" s="81"/>
      <c r="E27" s="74"/>
      <c r="F27" s="75" t="str">
        <f>IF(C27=0,"",(IFERROR(VLOOKUP(A27,'Rynny Gamrat'!$H$71:$J$268,2,0),"Brak")))</f>
        <v/>
      </c>
      <c r="G27" s="75" t="str">
        <f t="shared" si="2"/>
        <v/>
      </c>
      <c r="H27" s="82" t="str">
        <f t="shared" si="3"/>
        <v/>
      </c>
      <c r="I27" s="82" t="str">
        <f t="shared" si="4"/>
        <v/>
      </c>
      <c r="J27" s="1"/>
      <c r="K27" s="1"/>
      <c r="L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ht="15.75" hidden="1" customHeight="1">
      <c r="A28" s="1" t="str">
        <f t="shared" si="5"/>
        <v>PVC 125</v>
      </c>
      <c r="B28" s="73"/>
      <c r="C28" s="80"/>
      <c r="D28" s="81"/>
      <c r="E28" s="74"/>
      <c r="F28" s="75" t="str">
        <f>IF(C28=0,"",(IFERROR(VLOOKUP(A28,'Rynny Gamrat'!$H$71:$J$268,2,0),"Brak")))</f>
        <v/>
      </c>
      <c r="G28" s="75" t="str">
        <f t="shared" si="2"/>
        <v/>
      </c>
      <c r="H28" s="71" t="str">
        <f t="shared" si="3"/>
        <v/>
      </c>
      <c r="I28" s="72" t="str">
        <f t="shared" si="4"/>
        <v/>
      </c>
      <c r="J28" s="1"/>
      <c r="K28" s="1"/>
      <c r="L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ht="15.75" hidden="1" customHeight="1">
      <c r="A29" s="1" t="str">
        <f t="shared" si="5"/>
        <v>PVC 125</v>
      </c>
      <c r="B29" s="83"/>
      <c r="C29" s="84"/>
      <c r="D29" s="85"/>
      <c r="E29" s="86"/>
      <c r="F29" s="87" t="str">
        <f>IF(C29=0,"",(IFERROR(VLOOKUP(A29,'Rynny Gamrat'!$H$71:$J$268,2,0),"Brak")))</f>
        <v/>
      </c>
      <c r="G29" s="87" t="str">
        <f t="shared" si="2"/>
        <v/>
      </c>
      <c r="H29" s="88" t="str">
        <f t="shared" si="3"/>
        <v/>
      </c>
      <c r="I29" s="89" t="str">
        <f t="shared" si="4"/>
        <v/>
      </c>
      <c r="J29" s="1"/>
      <c r="K29" s="1"/>
      <c r="L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ht="15.75" customHeight="1">
      <c r="A30" s="1" t="str">
        <f t="shared" ref="A30:A40" si="6">IF(C30="Trójnik 110/63 ",($C$12&amp;C30),(IF(C30="Redukcja odwrotna 63/90 ",($C$12&amp;C30),IF(C30="Redukcja 110/63 ",($C$12&amp;C30),IF(C30="Redukcja 110/90 ",($C$12&amp;C30),($C$12&amp;C30&amp;$G$12))))))</f>
        <v>PVC Rura spustowa 4m 90</v>
      </c>
      <c r="B30" s="66" t="s">
        <v>37</v>
      </c>
      <c r="C30" s="90" t="s">
        <v>38</v>
      </c>
      <c r="D30" s="17"/>
      <c r="E30" s="91"/>
      <c r="F30" s="92">
        <f>IF(C30=0,"",(IFERROR(VLOOKUP(A30,'Rynny Gamrat'!$H$71:$J$268,2,0),"Brak")))</f>
        <v>87.84</v>
      </c>
      <c r="G30" s="92">
        <f t="shared" si="2"/>
        <v>108.0432</v>
      </c>
      <c r="H30" s="93" t="str">
        <f t="shared" si="3"/>
        <v/>
      </c>
      <c r="I30" s="94" t="str">
        <f t="shared" si="4"/>
        <v/>
      </c>
      <c r="J30" s="1"/>
      <c r="K30" s="21"/>
      <c r="L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ht="15.75" customHeight="1">
      <c r="A31" s="1" t="str">
        <f t="shared" si="6"/>
        <v>PVC Rura spustowa 3m 90</v>
      </c>
      <c r="B31" s="73"/>
      <c r="C31" s="67" t="s">
        <v>39</v>
      </c>
      <c r="D31" s="68"/>
      <c r="E31" s="74"/>
      <c r="F31" s="70">
        <f>IF(C31=0,"",(IFERROR(VLOOKUP(A31,'Rynny Gamrat'!$H$71:$J$268,2,0),"Brak")))</f>
        <v>65.88</v>
      </c>
      <c r="G31" s="70">
        <f t="shared" si="2"/>
        <v>81.0324</v>
      </c>
      <c r="H31" s="71" t="str">
        <f t="shared" si="3"/>
        <v/>
      </c>
      <c r="I31" s="72" t="str">
        <f t="shared" si="4"/>
        <v/>
      </c>
      <c r="J31" s="1"/>
      <c r="K31" s="1"/>
      <c r="L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ht="15.75" customHeight="1">
      <c r="A32" s="1" t="str">
        <f t="shared" si="6"/>
        <v>PVC Kolanko 90</v>
      </c>
      <c r="B32" s="73"/>
      <c r="C32" s="67" t="s">
        <v>40</v>
      </c>
      <c r="D32" s="68"/>
      <c r="E32" s="74"/>
      <c r="F32" s="70">
        <f>IF(C32=0,"",(IFERROR(VLOOKUP(A32,'Rynny Gamrat'!$H$71:$J$268,2,0),"Brak")))</f>
        <v>18.47</v>
      </c>
      <c r="G32" s="70">
        <f t="shared" si="2"/>
        <v>22.7181</v>
      </c>
      <c r="H32" s="71" t="str">
        <f t="shared" si="3"/>
        <v/>
      </c>
      <c r="I32" s="72" t="str">
        <f t="shared" si="4"/>
        <v/>
      </c>
      <c r="J32" s="1"/>
      <c r="K32" s="1"/>
      <c r="L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ht="15.75" customHeight="1">
      <c r="A33" s="1" t="str">
        <f t="shared" si="6"/>
        <v>PVC Obejma 90</v>
      </c>
      <c r="B33" s="73"/>
      <c r="C33" s="67" t="s">
        <v>41</v>
      </c>
      <c r="D33" s="68"/>
      <c r="E33" s="74"/>
      <c r="F33" s="70">
        <f>IF(C33=0,"",(IFERROR(VLOOKUP(A33,'Rynny Gamrat'!$H$71:$J$268,2,0),"Brak")))</f>
        <v>8.31</v>
      </c>
      <c r="G33" s="70">
        <f t="shared" si="2"/>
        <v>10.2213</v>
      </c>
      <c r="H33" s="71" t="str">
        <f t="shared" si="3"/>
        <v/>
      </c>
      <c r="I33" s="71" t="str">
        <f t="shared" si="4"/>
        <v/>
      </c>
      <c r="J33" s="1"/>
      <c r="L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ht="15.75" customHeight="1">
      <c r="A34" s="1" t="str">
        <f t="shared" si="6"/>
        <v>PVC 90</v>
      </c>
      <c r="B34" s="73"/>
      <c r="C34" s="67"/>
      <c r="D34" s="68"/>
      <c r="E34" s="69"/>
      <c r="F34" s="87" t="str">
        <f>IF(C34=0,"",(IFERROR(VLOOKUP(A34,'Rynny Gamrat'!$H$71:$J$268,2,0),"Brak")))</f>
        <v/>
      </c>
      <c r="G34" s="87" t="str">
        <f t="shared" si="2"/>
        <v/>
      </c>
      <c r="H34" s="71" t="str">
        <f t="shared" si="3"/>
        <v/>
      </c>
      <c r="I34" s="71" t="str">
        <f t="shared" si="4"/>
        <v/>
      </c>
      <c r="J34" s="1"/>
      <c r="K34" s="1"/>
      <c r="L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ht="15.75" hidden="1" customHeight="1">
      <c r="A35" s="1" t="str">
        <f t="shared" si="6"/>
        <v>PVC 90</v>
      </c>
      <c r="B35" s="73"/>
      <c r="C35" s="67"/>
      <c r="D35" s="68"/>
      <c r="E35" s="74"/>
      <c r="F35" s="70" t="str">
        <f>IF(C35=0,"",(IFERROR(VLOOKUP(A35,'Rynny Gamrat'!$H$71:$J$268,2,0),"Brak")))</f>
        <v/>
      </c>
      <c r="G35" s="70" t="str">
        <f t="shared" si="2"/>
        <v/>
      </c>
      <c r="H35" s="71" t="str">
        <f t="shared" si="3"/>
        <v/>
      </c>
      <c r="I35" s="72" t="str">
        <f t="shared" si="4"/>
        <v/>
      </c>
      <c r="J35" s="1"/>
      <c r="K35" s="1"/>
      <c r="L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ht="15.75" hidden="1" customHeight="1">
      <c r="A36" s="1" t="str">
        <f t="shared" si="6"/>
        <v>PVC 90</v>
      </c>
      <c r="B36" s="73"/>
      <c r="C36" s="95"/>
      <c r="D36" s="48"/>
      <c r="E36" s="86"/>
      <c r="F36" s="70" t="str">
        <f>IF(C36=0,"",(IFERROR(VLOOKUP(A36,'Rynny Gamrat'!$H$71:$J$268,2,0),"Brak")))</f>
        <v/>
      </c>
      <c r="G36" s="70" t="str">
        <f t="shared" si="2"/>
        <v/>
      </c>
      <c r="H36" s="88" t="str">
        <f t="shared" si="3"/>
        <v/>
      </c>
      <c r="I36" s="89" t="str">
        <f t="shared" si="4"/>
        <v/>
      </c>
      <c r="J36" s="1"/>
      <c r="K36" s="1"/>
      <c r="L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ht="15.75" hidden="1" customHeight="1">
      <c r="A37" s="1" t="str">
        <f t="shared" si="6"/>
        <v>PVC 90</v>
      </c>
      <c r="B37" s="73"/>
      <c r="C37" s="90"/>
      <c r="D37" s="17"/>
      <c r="E37" s="91"/>
      <c r="F37" s="70" t="str">
        <f>IF(C37=0,"",(IFERROR(VLOOKUP(A37,'Rynny Gamrat'!$H$71:$J$268,2,0),"Brak")))</f>
        <v/>
      </c>
      <c r="G37" s="70" t="str">
        <f t="shared" si="2"/>
        <v/>
      </c>
      <c r="H37" s="93" t="str">
        <f t="shared" si="3"/>
        <v/>
      </c>
      <c r="I37" s="94" t="str">
        <f t="shared" si="4"/>
        <v/>
      </c>
      <c r="J37" s="1"/>
      <c r="K37" s="1"/>
      <c r="L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ht="15.75" hidden="1" customHeight="1">
      <c r="A38" s="1" t="str">
        <f t="shared" si="6"/>
        <v>PVC 90</v>
      </c>
      <c r="B38" s="73"/>
      <c r="C38" s="80"/>
      <c r="D38" s="81"/>
      <c r="E38" s="74"/>
      <c r="F38" s="70" t="str">
        <f>IF(C38=0,"",(IFERROR(VLOOKUP(A38,'Rynny Gamrat'!$H$71:$J$268,2,0),"Brak")))</f>
        <v/>
      </c>
      <c r="G38" s="70" t="str">
        <f t="shared" si="2"/>
        <v/>
      </c>
      <c r="H38" s="71" t="str">
        <f t="shared" si="3"/>
        <v/>
      </c>
      <c r="I38" s="72" t="str">
        <f t="shared" si="4"/>
        <v/>
      </c>
      <c r="J38" s="1"/>
      <c r="K38" s="1"/>
      <c r="L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ht="15.75" hidden="1" customHeight="1">
      <c r="A39" s="1" t="str">
        <f t="shared" si="6"/>
        <v>PVC 90</v>
      </c>
      <c r="B39" s="73"/>
      <c r="C39" s="80"/>
      <c r="D39" s="81"/>
      <c r="E39" s="74"/>
      <c r="F39" s="70" t="str">
        <f>IF(C39=0,"",(IFERROR(VLOOKUP(A39,'Rynny Gamrat'!$H$71:$J$268,2,0),"Brak")))</f>
        <v/>
      </c>
      <c r="G39" s="70" t="str">
        <f t="shared" si="2"/>
        <v/>
      </c>
      <c r="H39" s="71" t="str">
        <f t="shared" si="3"/>
        <v/>
      </c>
      <c r="I39" s="72" t="str">
        <f t="shared" si="4"/>
        <v/>
      </c>
      <c r="J39" s="1"/>
      <c r="K39" s="1"/>
      <c r="L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ht="15.75" hidden="1" customHeight="1">
      <c r="A40" s="1" t="str">
        <f t="shared" si="6"/>
        <v>PVC 90</v>
      </c>
      <c r="B40" s="83"/>
      <c r="C40" s="84"/>
      <c r="D40" s="85"/>
      <c r="E40" s="86"/>
      <c r="F40" s="70" t="str">
        <f>IF(C40=0,"",(IFERROR(VLOOKUP(A40,'Rynny Gamrat'!$H$71:$J$268,2,0),"Brak")))</f>
        <v/>
      </c>
      <c r="G40" s="70" t="str">
        <f t="shared" si="2"/>
        <v/>
      </c>
      <c r="H40" s="88" t="str">
        <f t="shared" si="3"/>
        <v/>
      </c>
      <c r="I40" s="89" t="str">
        <f t="shared" si="4"/>
        <v/>
      </c>
      <c r="J40" s="1"/>
      <c r="K40" s="1"/>
      <c r="L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ht="15.75" customHeight="1">
      <c r="A41" s="1" t="str">
        <f>$C$12&amp;C41&amp;D41</f>
        <v>PVC Hak obejmy L-160 </v>
      </c>
      <c r="B41" s="96" t="s">
        <v>42</v>
      </c>
      <c r="C41" s="97" t="s">
        <v>43</v>
      </c>
      <c r="D41" s="98" t="s">
        <v>44</v>
      </c>
      <c r="E41" s="91"/>
      <c r="F41" s="70">
        <f>IF(C41=0,"",(IFERROR(VLOOKUP(A41,'Rynny Gamrat'!$H$71:$J$268,2,0),"Brak")))</f>
        <v>8.11</v>
      </c>
      <c r="G41" s="70">
        <f t="shared" si="2"/>
        <v>9.9753</v>
      </c>
      <c r="H41" s="93" t="str">
        <f t="shared" si="3"/>
        <v/>
      </c>
      <c r="I41" s="94" t="str">
        <f t="shared" si="4"/>
        <v/>
      </c>
      <c r="J41" s="1"/>
      <c r="K41" s="1"/>
      <c r="L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ht="15.75" customHeight="1">
      <c r="A42" s="1" t="str">
        <f t="shared" ref="A42:A48" si="7">$C$12&amp;C42</f>
        <v>PVC Stopka do obejm </v>
      </c>
      <c r="B42" s="73"/>
      <c r="C42" s="99" t="s">
        <v>45</v>
      </c>
      <c r="D42" s="23"/>
      <c r="E42" s="69"/>
      <c r="F42" s="70">
        <f>IF(C42=0,"",(IFERROR(VLOOKUP(A42,'Rynny Gamrat'!$H$71:$J$268,2,0),"Brak")))</f>
        <v>6.65</v>
      </c>
      <c r="G42" s="70">
        <f t="shared" si="2"/>
        <v>8.1795</v>
      </c>
      <c r="H42" s="71" t="str">
        <f t="shared" si="3"/>
        <v/>
      </c>
      <c r="I42" s="72" t="str">
        <f t="shared" si="4"/>
        <v/>
      </c>
      <c r="J42" s="1"/>
      <c r="K42" s="21"/>
      <c r="L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ht="15.75" customHeight="1">
      <c r="A43" s="1" t="str">
        <f t="shared" si="7"/>
        <v>PVC Wspornik aluminiowy </v>
      </c>
      <c r="B43" s="73"/>
      <c r="C43" s="100" t="s">
        <v>46</v>
      </c>
      <c r="D43" s="81"/>
      <c r="E43" s="69"/>
      <c r="F43" s="70">
        <f>IF(C43=0,"",(IFERROR(VLOOKUP(A43,'Rynny Gamrat'!$H$71:$J$268,2,0),"Brak")))</f>
        <v>5.38</v>
      </c>
      <c r="G43" s="70">
        <f t="shared" si="2"/>
        <v>6.6174</v>
      </c>
      <c r="H43" s="71" t="str">
        <f t="shared" si="3"/>
        <v/>
      </c>
      <c r="I43" s="72" t="str">
        <f t="shared" si="4"/>
        <v/>
      </c>
      <c r="J43" s="1"/>
      <c r="K43" s="1"/>
      <c r="L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ht="15.75" customHeight="1">
      <c r="A44" s="1" t="str">
        <f t="shared" si="7"/>
        <v>PVC </v>
      </c>
      <c r="B44" s="73"/>
      <c r="C44" s="67"/>
      <c r="D44" s="68"/>
      <c r="E44" s="74"/>
      <c r="F44" s="70" t="str">
        <f>IF(C44=0,"",(IFERROR(VLOOKUP(A44,'Rynny Gamrat'!$H$71:$J$268,2,0),"Brak")))</f>
        <v/>
      </c>
      <c r="G44" s="70" t="str">
        <f t="shared" si="2"/>
        <v/>
      </c>
      <c r="H44" s="71" t="str">
        <f t="shared" si="3"/>
        <v/>
      </c>
      <c r="I44" s="72" t="str">
        <f t="shared" si="4"/>
        <v/>
      </c>
      <c r="J44" s="1"/>
      <c r="K44" s="1"/>
      <c r="L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ht="14.25" customHeight="1">
      <c r="A45" s="1" t="str">
        <f t="shared" si="7"/>
        <v>PVC </v>
      </c>
      <c r="B45" s="73"/>
      <c r="C45" s="67"/>
      <c r="D45" s="68"/>
      <c r="E45" s="74"/>
      <c r="F45" s="70" t="str">
        <f>IF(C45=0,"",(IFERROR(VLOOKUP(A45,'Rynny Gamrat'!$H$71:$J$268,2,0),"Brak")))</f>
        <v/>
      </c>
      <c r="G45" s="70" t="str">
        <f t="shared" si="2"/>
        <v/>
      </c>
      <c r="H45" s="71" t="str">
        <f t="shared" si="3"/>
        <v/>
      </c>
      <c r="I45" s="72" t="str">
        <f t="shared" si="4"/>
        <v/>
      </c>
      <c r="J45" s="1"/>
      <c r="K45" s="1"/>
      <c r="L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ht="14.25" customHeight="1">
      <c r="A46" s="1" t="str">
        <f t="shared" si="7"/>
        <v>PVC </v>
      </c>
      <c r="B46" s="73"/>
      <c r="C46" s="95"/>
      <c r="D46" s="48"/>
      <c r="E46" s="86"/>
      <c r="F46" s="101" t="str">
        <f>IF(C46=0,"",(IFERROR(VLOOKUP(A46,'Rynny Gamrat'!$H$71:$J$268,2,0),"Brak")))</f>
        <v/>
      </c>
      <c r="G46" s="101" t="str">
        <f t="shared" si="2"/>
        <v/>
      </c>
      <c r="H46" s="88" t="str">
        <f t="shared" si="3"/>
        <v/>
      </c>
      <c r="I46" s="89" t="str">
        <f t="shared" si="4"/>
        <v/>
      </c>
      <c r="J46" s="1"/>
      <c r="K46" s="1"/>
      <c r="L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ht="14.25" hidden="1" customHeight="1">
      <c r="A47" s="1" t="str">
        <f t="shared" si="7"/>
        <v>PVC </v>
      </c>
      <c r="B47" s="73"/>
      <c r="C47" s="90"/>
      <c r="D47" s="17"/>
      <c r="E47" s="91"/>
      <c r="F47" s="70" t="str">
        <f>IF(C47=0,"",(IFERROR(VLOOKUP(A47,'Rynny Gamrat'!$H$71:$J$268,2,0),"Brak")))</f>
        <v/>
      </c>
      <c r="G47" s="70" t="str">
        <f t="shared" si="2"/>
        <v/>
      </c>
      <c r="H47" s="93" t="str">
        <f t="shared" si="3"/>
        <v/>
      </c>
      <c r="I47" s="94" t="str">
        <f t="shared" si="4"/>
        <v/>
      </c>
      <c r="J47" s="1"/>
      <c r="K47" s="1"/>
      <c r="L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ht="14.25" hidden="1" customHeight="1">
      <c r="A48" s="1" t="str">
        <f t="shared" si="7"/>
        <v>PVC </v>
      </c>
      <c r="B48" s="73"/>
      <c r="C48" s="67"/>
      <c r="D48" s="68"/>
      <c r="E48" s="74"/>
      <c r="F48" s="70" t="str">
        <f>IF(C48=0,"",(IFERROR(VLOOKUP(A48,'Rynny Gamrat'!$H$71:$J$268,2,0),"Brak")))</f>
        <v/>
      </c>
      <c r="G48" s="70" t="str">
        <f t="shared" si="2"/>
        <v/>
      </c>
      <c r="H48" s="71" t="str">
        <f t="shared" si="3"/>
        <v/>
      </c>
      <c r="I48" s="72" t="str">
        <f t="shared" si="4"/>
        <v/>
      </c>
      <c r="J48" s="1"/>
      <c r="K48" s="1"/>
      <c r="L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ht="14.25" hidden="1" customHeight="1">
      <c r="A49" s="1" t="str">
        <f>IF(C49="Uszczelka zapasowa ",($C$12&amp;C49&amp;$F$12),($C$12&amp;C49))</f>
        <v>PVC </v>
      </c>
      <c r="B49" s="73"/>
      <c r="C49" s="67"/>
      <c r="D49" s="68"/>
      <c r="E49" s="74"/>
      <c r="F49" s="70" t="str">
        <f>IF(C49=0,"",(IFERROR(VLOOKUP(A49,'Rynny Gamrat'!$H$71:$J$268,2,0),"Brak")))</f>
        <v/>
      </c>
      <c r="G49" s="70" t="str">
        <f t="shared" si="2"/>
        <v/>
      </c>
      <c r="H49" s="71" t="str">
        <f t="shared" si="3"/>
        <v/>
      </c>
      <c r="I49" s="72" t="str">
        <f t="shared" si="4"/>
        <v/>
      </c>
      <c r="J49" s="1"/>
      <c r="K49" s="1"/>
      <c r="L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ht="14.25" hidden="1" customHeight="1">
      <c r="A50" s="1" t="str">
        <f>$C$12&amp;C50</f>
        <v>PVC </v>
      </c>
      <c r="B50" s="83"/>
      <c r="C50" s="95"/>
      <c r="D50" s="48"/>
      <c r="E50" s="102"/>
      <c r="F50" s="101" t="str">
        <f>IF(C50=0,"",(IFERROR(VLOOKUP(A50,'Rynny Gamrat'!$H$71:$J$268,2,0),"Brak")))</f>
        <v/>
      </c>
      <c r="G50" s="101" t="str">
        <f t="shared" si="2"/>
        <v/>
      </c>
      <c r="H50" s="88" t="str">
        <f t="shared" si="3"/>
        <v/>
      </c>
      <c r="I50" s="89" t="str">
        <f t="shared" si="4"/>
        <v/>
      </c>
      <c r="J50" s="1"/>
      <c r="K50" s="1"/>
      <c r="L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>
      <c r="A51" s="1"/>
      <c r="B51" s="1"/>
      <c r="C51" s="1"/>
      <c r="D51" s="1"/>
      <c r="E51" s="1"/>
      <c r="F51" s="1"/>
      <c r="G51" s="1"/>
      <c r="H51" s="1"/>
      <c r="I51" s="10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>
      <c r="A52" s="1"/>
      <c r="B52" s="1"/>
      <c r="C52" s="104" t="s">
        <v>47</v>
      </c>
      <c r="D52" s="105">
        <f>SUM(H18:H50)</f>
        <v>0</v>
      </c>
      <c r="E52" s="106"/>
      <c r="F52" s="107" t="s">
        <v>48</v>
      </c>
      <c r="G52" s="108">
        <f>D52*1.23</f>
        <v>0</v>
      </c>
      <c r="H52" s="4"/>
      <c r="I52" s="109">
        <f>SUM(I18:I50)</f>
        <v>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>
      <c r="A53" s="1"/>
      <c r="B53" s="1"/>
      <c r="C53" s="110" t="s">
        <v>49</v>
      </c>
      <c r="D53" s="60"/>
      <c r="E53" s="60"/>
      <c r="F53" s="111"/>
      <c r="G53" s="112"/>
      <c r="H53" s="112"/>
      <c r="I53" s="11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>
      <c r="A54" s="1"/>
      <c r="B54" s="1"/>
      <c r="C54" s="114" t="s">
        <v>50</v>
      </c>
      <c r="D54" s="115">
        <f>D52-F53*D52</f>
        <v>0</v>
      </c>
      <c r="E54" s="11"/>
      <c r="F54" s="116" t="s">
        <v>51</v>
      </c>
      <c r="G54" s="10"/>
      <c r="H54" s="117">
        <f>D54*1.23</f>
        <v>0</v>
      </c>
      <c r="I54" s="118">
        <f>D54*1.23</f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>
      <c r="A59" s="1"/>
      <c r="B59" s="1"/>
      <c r="C59" s="119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>
      <c r="A60" s="1"/>
      <c r="B60" s="1"/>
      <c r="C60" s="119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>
      <c r="A61" s="1"/>
      <c r="B61" s="1"/>
      <c r="C61" s="119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>
      <c r="A62" s="1"/>
      <c r="B62" s="1"/>
      <c r="C62" s="119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>
      <c r="A63" s="1"/>
      <c r="B63" s="1"/>
      <c r="C63" s="119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>
      <c r="A64" s="1"/>
      <c r="B64" s="1"/>
      <c r="C64" s="119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>
      <c r="A65" s="1"/>
      <c r="B65" s="1"/>
      <c r="C65" s="11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>
      <c r="A66" s="1"/>
      <c r="B66" s="1"/>
      <c r="C66" s="11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>
      <c r="A67" s="1"/>
      <c r="B67" s="1"/>
      <c r="C67" s="2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>
      <c r="A68" s="1"/>
      <c r="B68" s="1"/>
      <c r="C68" s="2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>
      <c r="A69" s="1"/>
      <c r="B69" s="1"/>
      <c r="C69" s="2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hidden="1">
      <c r="A70" s="1"/>
      <c r="B70" s="120"/>
      <c r="C70" s="121" t="s">
        <v>24</v>
      </c>
      <c r="D70" s="121" t="s">
        <v>17</v>
      </c>
      <c r="E70" s="122" t="s">
        <v>52</v>
      </c>
      <c r="F70" s="122" t="s">
        <v>53</v>
      </c>
      <c r="G70" s="122"/>
      <c r="H70" s="123" t="s">
        <v>54</v>
      </c>
      <c r="I70" s="124" t="s">
        <v>26</v>
      </c>
      <c r="J70" s="125" t="s">
        <v>27</v>
      </c>
      <c r="L70" s="126" t="s">
        <v>55</v>
      </c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hidden="1">
      <c r="A71" s="1"/>
      <c r="B71" s="127" t="s">
        <v>19</v>
      </c>
      <c r="C71" s="128" t="s">
        <v>32</v>
      </c>
      <c r="D71" s="129" t="s">
        <v>56</v>
      </c>
      <c r="E71" s="130">
        <v>75.0</v>
      </c>
      <c r="F71" s="130"/>
      <c r="G71" s="130"/>
      <c r="H71" s="131" t="str">
        <f t="shared" ref="H71:H155" si="8">$B$71&amp;C71&amp;E71&amp;F71&amp;G71</f>
        <v>PVC Rynna 3m 75</v>
      </c>
      <c r="I71" s="132">
        <f>11.46*3</f>
        <v>34.38</v>
      </c>
      <c r="J71" s="133">
        <f t="shared" ref="J71:J268" si="9">I71*1.23</f>
        <v>42.2874</v>
      </c>
      <c r="L71" s="126" t="s">
        <v>19</v>
      </c>
      <c r="M71" s="126" t="s">
        <v>57</v>
      </c>
      <c r="N71" s="126" t="s">
        <v>56</v>
      </c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hidden="1">
      <c r="A72" s="1"/>
      <c r="B72" s="73"/>
      <c r="C72" s="128" t="s">
        <v>31</v>
      </c>
      <c r="D72" s="129" t="s">
        <v>56</v>
      </c>
      <c r="E72" s="130">
        <v>75.0</v>
      </c>
      <c r="F72" s="130"/>
      <c r="G72" s="130"/>
      <c r="H72" s="131" t="str">
        <f t="shared" si="8"/>
        <v>PVC Rynna 4m 75</v>
      </c>
      <c r="I72" s="132">
        <f>11.46*4</f>
        <v>45.84</v>
      </c>
      <c r="J72" s="133">
        <f t="shared" si="9"/>
        <v>56.3832</v>
      </c>
      <c r="L72" s="126" t="s">
        <v>58</v>
      </c>
      <c r="M72" s="126" t="s">
        <v>59</v>
      </c>
      <c r="N72" s="126" t="s">
        <v>60</v>
      </c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hidden="1">
      <c r="A73" s="1"/>
      <c r="B73" s="73"/>
      <c r="C73" s="128" t="s">
        <v>32</v>
      </c>
      <c r="D73" s="129" t="s">
        <v>56</v>
      </c>
      <c r="E73" s="130">
        <v>100.0</v>
      </c>
      <c r="F73" s="130"/>
      <c r="G73" s="130"/>
      <c r="H73" s="131" t="str">
        <f t="shared" si="8"/>
        <v>PVC Rynna 3m 100</v>
      </c>
      <c r="I73" s="132">
        <f>15.32*3</f>
        <v>45.96</v>
      </c>
      <c r="J73" s="133">
        <f t="shared" si="9"/>
        <v>56.5308</v>
      </c>
      <c r="L73" s="126" t="s">
        <v>61</v>
      </c>
      <c r="M73" s="126" t="s">
        <v>62</v>
      </c>
      <c r="N73" s="126" t="s">
        <v>63</v>
      </c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hidden="1">
      <c r="A74" s="1"/>
      <c r="B74" s="73"/>
      <c r="C74" s="128" t="s">
        <v>31</v>
      </c>
      <c r="D74" s="129" t="s">
        <v>56</v>
      </c>
      <c r="E74" s="130">
        <v>100.0</v>
      </c>
      <c r="F74" s="130"/>
      <c r="G74" s="130"/>
      <c r="H74" s="131" t="str">
        <f t="shared" si="8"/>
        <v>PVC Rynna 4m 100</v>
      </c>
      <c r="I74" s="132">
        <f>15.32*4</f>
        <v>61.28</v>
      </c>
      <c r="J74" s="133">
        <f t="shared" si="9"/>
        <v>75.3744</v>
      </c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hidden="1">
      <c r="A75" s="1"/>
      <c r="B75" s="73"/>
      <c r="C75" s="128" t="s">
        <v>32</v>
      </c>
      <c r="D75" s="129" t="s">
        <v>56</v>
      </c>
      <c r="E75" s="130">
        <v>125.0</v>
      </c>
      <c r="F75" s="130"/>
      <c r="G75" s="130"/>
      <c r="H75" s="131" t="str">
        <f t="shared" si="8"/>
        <v>PVC Rynna 3m 125</v>
      </c>
      <c r="I75" s="132">
        <f>19.22*3</f>
        <v>57.66</v>
      </c>
      <c r="J75" s="133">
        <f t="shared" si="9"/>
        <v>70.9218</v>
      </c>
      <c r="L75" s="126" t="s">
        <v>52</v>
      </c>
      <c r="M75" s="126" t="s">
        <v>53</v>
      </c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hidden="1">
      <c r="A76" s="1"/>
      <c r="B76" s="73"/>
      <c r="C76" s="128" t="s">
        <v>31</v>
      </c>
      <c r="D76" s="129" t="s">
        <v>56</v>
      </c>
      <c r="E76" s="130">
        <v>125.0</v>
      </c>
      <c r="F76" s="130"/>
      <c r="G76" s="130"/>
      <c r="H76" s="131" t="str">
        <f t="shared" si="8"/>
        <v>PVC Rynna 4m 125</v>
      </c>
      <c r="I76" s="132">
        <f>19.22*4</f>
        <v>76.88</v>
      </c>
      <c r="J76" s="133">
        <f t="shared" si="9"/>
        <v>94.5624</v>
      </c>
      <c r="L76" s="126">
        <v>75.0</v>
      </c>
      <c r="M76" s="126">
        <v>63.0</v>
      </c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hidden="1">
      <c r="A77" s="1"/>
      <c r="B77" s="73"/>
      <c r="C77" s="128" t="s">
        <v>32</v>
      </c>
      <c r="D77" s="129" t="s">
        <v>56</v>
      </c>
      <c r="E77" s="130">
        <v>150.0</v>
      </c>
      <c r="F77" s="130"/>
      <c r="G77" s="130"/>
      <c r="H77" s="131" t="str">
        <f t="shared" si="8"/>
        <v>PVC Rynna 3m 150</v>
      </c>
      <c r="I77" s="132">
        <f>26.21*3</f>
        <v>78.63</v>
      </c>
      <c r="J77" s="133">
        <f t="shared" si="9"/>
        <v>96.7149</v>
      </c>
      <c r="L77" s="126">
        <v>100.0</v>
      </c>
      <c r="M77" s="126">
        <v>90.0</v>
      </c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hidden="1">
      <c r="A78" s="1"/>
      <c r="B78" s="73"/>
      <c r="C78" s="128" t="s">
        <v>31</v>
      </c>
      <c r="D78" s="129" t="s">
        <v>56</v>
      </c>
      <c r="E78" s="130">
        <v>150.0</v>
      </c>
      <c r="F78" s="130"/>
      <c r="G78" s="130"/>
      <c r="H78" s="131" t="str">
        <f t="shared" si="8"/>
        <v>PVC Rynna 4m 150</v>
      </c>
      <c r="I78" s="132">
        <f>26.21*4</f>
        <v>104.84</v>
      </c>
      <c r="J78" s="133">
        <f t="shared" si="9"/>
        <v>128.9532</v>
      </c>
      <c r="L78" s="126">
        <v>125.0</v>
      </c>
      <c r="M78" s="126">
        <v>100.0</v>
      </c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hidden="1">
      <c r="A79" s="1"/>
      <c r="B79" s="73"/>
      <c r="C79" s="128" t="s">
        <v>34</v>
      </c>
      <c r="D79" s="129" t="s">
        <v>56</v>
      </c>
      <c r="E79" s="130">
        <v>75.0</v>
      </c>
      <c r="F79" s="130"/>
      <c r="G79" s="130"/>
      <c r="H79" s="131" t="str">
        <f t="shared" si="8"/>
        <v>PVC Rynhak 75</v>
      </c>
      <c r="I79" s="132">
        <v>6.65</v>
      </c>
      <c r="J79" s="133">
        <f t="shared" si="9"/>
        <v>8.1795</v>
      </c>
      <c r="L79" s="126">
        <v>150.0</v>
      </c>
      <c r="M79" s="126">
        <v>110.0</v>
      </c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hidden="1">
      <c r="A80" s="1"/>
      <c r="B80" s="73"/>
      <c r="C80" s="128" t="s">
        <v>34</v>
      </c>
      <c r="D80" s="129" t="s">
        <v>56</v>
      </c>
      <c r="E80" s="130">
        <v>100.0</v>
      </c>
      <c r="F80" s="130"/>
      <c r="G80" s="130"/>
      <c r="H80" s="131" t="str">
        <f t="shared" si="8"/>
        <v>PVC Rynhak 100</v>
      </c>
      <c r="I80" s="132">
        <v>7.65</v>
      </c>
      <c r="J80" s="133">
        <f t="shared" si="9"/>
        <v>9.4095</v>
      </c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hidden="1">
      <c r="A81" s="1"/>
      <c r="B81" s="73"/>
      <c r="C81" s="128" t="s">
        <v>34</v>
      </c>
      <c r="D81" s="129" t="s">
        <v>56</v>
      </c>
      <c r="E81" s="130">
        <v>125.0</v>
      </c>
      <c r="F81" s="130"/>
      <c r="G81" s="130"/>
      <c r="H81" s="131" t="str">
        <f t="shared" si="8"/>
        <v>PVC Rynhak 125</v>
      </c>
      <c r="I81" s="132">
        <v>8.34</v>
      </c>
      <c r="J81" s="133">
        <f t="shared" si="9"/>
        <v>10.2582</v>
      </c>
      <c r="O81" s="126" t="s">
        <v>64</v>
      </c>
      <c r="P81" s="126" t="s">
        <v>65</v>
      </c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hidden="1">
      <c r="A82" s="1"/>
      <c r="B82" s="73"/>
      <c r="C82" s="128" t="s">
        <v>34</v>
      </c>
      <c r="D82" s="129" t="s">
        <v>56</v>
      </c>
      <c r="E82" s="130">
        <v>150.0</v>
      </c>
      <c r="F82" s="130"/>
      <c r="G82" s="130"/>
      <c r="H82" s="131" t="str">
        <f t="shared" si="8"/>
        <v>PVC Rynhak 150</v>
      </c>
      <c r="I82" s="132">
        <v>10.43</v>
      </c>
      <c r="J82" s="133">
        <f t="shared" si="9"/>
        <v>12.8289</v>
      </c>
      <c r="L82" s="126" t="s">
        <v>66</v>
      </c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hidden="1">
      <c r="A83" s="1"/>
      <c r="B83" s="73"/>
      <c r="C83" s="128" t="s">
        <v>67</v>
      </c>
      <c r="D83" s="129" t="s">
        <v>56</v>
      </c>
      <c r="E83" s="130">
        <v>75.0</v>
      </c>
      <c r="F83" s="130"/>
      <c r="G83" s="130"/>
      <c r="H83" s="131" t="str">
        <f t="shared" si="8"/>
        <v>PVC Rynajza 75</v>
      </c>
      <c r="I83" s="132">
        <v>13.66</v>
      </c>
      <c r="J83" s="133">
        <f t="shared" si="9"/>
        <v>16.8018</v>
      </c>
      <c r="K83" s="126">
        <v>1.0</v>
      </c>
      <c r="L83" s="134" t="s">
        <v>32</v>
      </c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hidden="1">
      <c r="A84" s="1"/>
      <c r="B84" s="73"/>
      <c r="C84" s="128" t="s">
        <v>67</v>
      </c>
      <c r="D84" s="129" t="s">
        <v>56</v>
      </c>
      <c r="E84" s="130">
        <v>100.0</v>
      </c>
      <c r="F84" s="130"/>
      <c r="G84" s="130"/>
      <c r="H84" s="131" t="str">
        <f t="shared" si="8"/>
        <v>PVC Rynajza 100</v>
      </c>
      <c r="I84" s="132">
        <v>19.68</v>
      </c>
      <c r="J84" s="133">
        <f t="shared" si="9"/>
        <v>24.2064</v>
      </c>
      <c r="K84" s="126">
        <v>2.0</v>
      </c>
      <c r="L84" s="128" t="s">
        <v>31</v>
      </c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hidden="1">
      <c r="A85" s="1"/>
      <c r="B85" s="73"/>
      <c r="C85" s="128" t="s">
        <v>67</v>
      </c>
      <c r="D85" s="129" t="s">
        <v>56</v>
      </c>
      <c r="E85" s="130">
        <v>125.0</v>
      </c>
      <c r="F85" s="130"/>
      <c r="G85" s="130"/>
      <c r="H85" s="131" t="str">
        <f t="shared" si="8"/>
        <v>PVC Rynajza 125</v>
      </c>
      <c r="I85" s="132">
        <v>20.07</v>
      </c>
      <c r="J85" s="133">
        <f t="shared" si="9"/>
        <v>24.6861</v>
      </c>
      <c r="K85" s="126">
        <v>3.0</v>
      </c>
      <c r="L85" s="128" t="s">
        <v>34</v>
      </c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hidden="1">
      <c r="A86" s="1"/>
      <c r="B86" s="73"/>
      <c r="C86" s="128" t="s">
        <v>67</v>
      </c>
      <c r="D86" s="129" t="s">
        <v>56</v>
      </c>
      <c r="E86" s="130">
        <v>150.0</v>
      </c>
      <c r="F86" s="130"/>
      <c r="G86" s="130"/>
      <c r="H86" s="131" t="str">
        <f t="shared" si="8"/>
        <v>PVC Rynajza 150</v>
      </c>
      <c r="I86" s="132">
        <v>22.97</v>
      </c>
      <c r="J86" s="133">
        <f t="shared" si="9"/>
        <v>28.2531</v>
      </c>
      <c r="K86" s="126">
        <v>4.0</v>
      </c>
      <c r="L86" s="128" t="s">
        <v>67</v>
      </c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hidden="1">
      <c r="A87" s="1"/>
      <c r="B87" s="73"/>
      <c r="C87" s="128" t="s">
        <v>35</v>
      </c>
      <c r="D87" s="129" t="s">
        <v>56</v>
      </c>
      <c r="E87" s="130">
        <v>75.0</v>
      </c>
      <c r="F87" s="130"/>
      <c r="G87" s="130"/>
      <c r="H87" s="131" t="str">
        <f t="shared" si="8"/>
        <v>PVC Denko prawe/lewe75</v>
      </c>
      <c r="I87" s="132">
        <v>7.36</v>
      </c>
      <c r="J87" s="133">
        <f t="shared" si="9"/>
        <v>9.0528</v>
      </c>
      <c r="K87" s="126">
        <v>5.0</v>
      </c>
      <c r="L87" s="128" t="s">
        <v>35</v>
      </c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hidden="1">
      <c r="A88" s="1"/>
      <c r="B88" s="73"/>
      <c r="C88" s="128" t="s">
        <v>35</v>
      </c>
      <c r="D88" s="129" t="s">
        <v>56</v>
      </c>
      <c r="E88" s="130">
        <v>100.0</v>
      </c>
      <c r="F88" s="130"/>
      <c r="G88" s="130"/>
      <c r="H88" s="131" t="str">
        <f t="shared" si="8"/>
        <v>PVC Denko prawe/lewe100</v>
      </c>
      <c r="I88" s="132">
        <v>9.24</v>
      </c>
      <c r="J88" s="133">
        <f t="shared" si="9"/>
        <v>11.3652</v>
      </c>
      <c r="K88" s="126">
        <v>6.0</v>
      </c>
      <c r="L88" s="128" t="s">
        <v>68</v>
      </c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hidden="1">
      <c r="A89" s="1"/>
      <c r="B89" s="73"/>
      <c r="C89" s="128" t="s">
        <v>35</v>
      </c>
      <c r="D89" s="129" t="s">
        <v>56</v>
      </c>
      <c r="E89" s="130">
        <v>125.0</v>
      </c>
      <c r="F89" s="130"/>
      <c r="G89" s="130"/>
      <c r="H89" s="131" t="str">
        <f t="shared" si="8"/>
        <v>PVC Denko prawe/lewe125</v>
      </c>
      <c r="I89" s="132">
        <v>11.14</v>
      </c>
      <c r="J89" s="133">
        <f t="shared" si="9"/>
        <v>13.7022</v>
      </c>
      <c r="K89" s="126">
        <v>7.0</v>
      </c>
      <c r="L89" s="128" t="s">
        <v>33</v>
      </c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hidden="1">
      <c r="A90" s="1"/>
      <c r="B90" s="73"/>
      <c r="C90" s="128" t="s">
        <v>35</v>
      </c>
      <c r="D90" s="129" t="s">
        <v>56</v>
      </c>
      <c r="E90" s="130">
        <v>150.0</v>
      </c>
      <c r="F90" s="130"/>
      <c r="G90" s="130"/>
      <c r="H90" s="131" t="str">
        <f t="shared" si="8"/>
        <v>PVC Denko prawe/lewe150</v>
      </c>
      <c r="I90" s="132">
        <v>14.8</v>
      </c>
      <c r="J90" s="133">
        <f t="shared" si="9"/>
        <v>18.204</v>
      </c>
      <c r="K90" s="126">
        <v>8.0</v>
      </c>
      <c r="L90" s="128" t="s">
        <v>36</v>
      </c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hidden="1">
      <c r="A91" s="1"/>
      <c r="B91" s="73"/>
      <c r="C91" s="128" t="s">
        <v>68</v>
      </c>
      <c r="D91" s="129" t="s">
        <v>56</v>
      </c>
      <c r="E91" s="130">
        <v>125.0</v>
      </c>
      <c r="F91" s="130"/>
      <c r="G91" s="130"/>
      <c r="H91" s="131" t="str">
        <f t="shared" si="8"/>
        <v>PVC Denko uniwersalne 125</v>
      </c>
      <c r="I91" s="132">
        <v>8.31</v>
      </c>
      <c r="J91" s="133">
        <f t="shared" si="9"/>
        <v>10.2213</v>
      </c>
      <c r="K91" s="126">
        <v>9.0</v>
      </c>
      <c r="L91" s="128" t="s">
        <v>69</v>
      </c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hidden="1">
      <c r="A92" s="1"/>
      <c r="B92" s="73"/>
      <c r="C92" s="128" t="s">
        <v>33</v>
      </c>
      <c r="D92" s="129" t="s">
        <v>56</v>
      </c>
      <c r="E92" s="130">
        <v>75.0</v>
      </c>
      <c r="F92" s="130"/>
      <c r="G92" s="130"/>
      <c r="H92" s="131" t="str">
        <f t="shared" si="8"/>
        <v>PVC Złączka rynny 75</v>
      </c>
      <c r="I92" s="132">
        <v>15.45</v>
      </c>
      <c r="J92" s="133">
        <f t="shared" si="9"/>
        <v>19.0035</v>
      </c>
      <c r="K92" s="126">
        <v>10.0</v>
      </c>
      <c r="L92" s="128" t="s">
        <v>70</v>
      </c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hidden="1">
      <c r="A93" s="1"/>
      <c r="B93" s="73"/>
      <c r="C93" s="128" t="s">
        <v>33</v>
      </c>
      <c r="D93" s="129" t="s">
        <v>56</v>
      </c>
      <c r="E93" s="130">
        <v>100.0</v>
      </c>
      <c r="F93" s="130"/>
      <c r="G93" s="130"/>
      <c r="H93" s="131" t="str">
        <f t="shared" si="8"/>
        <v>PVC Złączka rynny 100</v>
      </c>
      <c r="I93" s="132">
        <v>18.9</v>
      </c>
      <c r="J93" s="133">
        <f t="shared" si="9"/>
        <v>23.247</v>
      </c>
      <c r="K93" s="126">
        <v>1.0</v>
      </c>
      <c r="L93" s="134" t="s">
        <v>39</v>
      </c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hidden="1">
      <c r="A94" s="1"/>
      <c r="B94" s="73"/>
      <c r="C94" s="128" t="s">
        <v>33</v>
      </c>
      <c r="D94" s="129" t="s">
        <v>56</v>
      </c>
      <c r="E94" s="130">
        <v>125.0</v>
      </c>
      <c r="F94" s="130"/>
      <c r="G94" s="130"/>
      <c r="H94" s="131" t="str">
        <f t="shared" si="8"/>
        <v>PVC Złączka rynny 125</v>
      </c>
      <c r="I94" s="132">
        <v>22.4</v>
      </c>
      <c r="J94" s="133">
        <f t="shared" si="9"/>
        <v>27.552</v>
      </c>
      <c r="K94" s="126">
        <v>2.0</v>
      </c>
      <c r="L94" s="128" t="s">
        <v>38</v>
      </c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hidden="1">
      <c r="A95" s="1"/>
      <c r="B95" s="73"/>
      <c r="C95" s="128" t="s">
        <v>33</v>
      </c>
      <c r="D95" s="129" t="s">
        <v>56</v>
      </c>
      <c r="E95" s="130">
        <v>150.0</v>
      </c>
      <c r="F95" s="130"/>
      <c r="G95" s="130"/>
      <c r="H95" s="131" t="str">
        <f t="shared" si="8"/>
        <v>PVC Złączka rynny 150</v>
      </c>
      <c r="I95" s="132">
        <v>12.86</v>
      </c>
      <c r="J95" s="133">
        <f t="shared" si="9"/>
        <v>15.8178</v>
      </c>
      <c r="K95" s="126">
        <v>3.0</v>
      </c>
      <c r="L95" s="128" t="s">
        <v>71</v>
      </c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hidden="1">
      <c r="A96" s="1"/>
      <c r="B96" s="73"/>
      <c r="C96" s="128" t="s">
        <v>36</v>
      </c>
      <c r="D96" s="129" t="s">
        <v>56</v>
      </c>
      <c r="E96" s="130">
        <v>75.0</v>
      </c>
      <c r="F96" s="130">
        <v>63.0</v>
      </c>
      <c r="G96" s="130"/>
      <c r="H96" s="131" t="str">
        <f t="shared" si="8"/>
        <v>PVC Lej spustowy 7563</v>
      </c>
      <c r="I96" s="132">
        <v>24.35</v>
      </c>
      <c r="J96" s="133">
        <f t="shared" si="9"/>
        <v>29.9505</v>
      </c>
      <c r="K96" s="126">
        <v>4.0</v>
      </c>
      <c r="L96" s="128" t="s">
        <v>40</v>
      </c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hidden="1">
      <c r="A97" s="1"/>
      <c r="B97" s="73"/>
      <c r="C97" s="128" t="s">
        <v>36</v>
      </c>
      <c r="D97" s="129" t="s">
        <v>56</v>
      </c>
      <c r="E97" s="130">
        <v>100.0</v>
      </c>
      <c r="F97" s="130">
        <v>63.0</v>
      </c>
      <c r="G97" s="130"/>
      <c r="H97" s="131" t="str">
        <f t="shared" si="8"/>
        <v>PVC Lej spustowy 10063</v>
      </c>
      <c r="I97" s="132">
        <v>25.75</v>
      </c>
      <c r="J97" s="133">
        <f t="shared" si="9"/>
        <v>31.6725</v>
      </c>
      <c r="K97" s="126">
        <v>5.0</v>
      </c>
      <c r="L97" s="128" t="s">
        <v>72</v>
      </c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hidden="1">
      <c r="A98" s="1"/>
      <c r="B98" s="73"/>
      <c r="C98" s="128" t="s">
        <v>36</v>
      </c>
      <c r="D98" s="129" t="s">
        <v>56</v>
      </c>
      <c r="E98" s="130">
        <v>100.0</v>
      </c>
      <c r="F98" s="130">
        <v>90.0</v>
      </c>
      <c r="G98" s="130"/>
      <c r="H98" s="131" t="str">
        <f t="shared" si="8"/>
        <v>PVC Lej spustowy 10090</v>
      </c>
      <c r="I98" s="132">
        <v>26.24</v>
      </c>
      <c r="J98" s="133">
        <f t="shared" si="9"/>
        <v>32.2752</v>
      </c>
      <c r="K98" s="126">
        <v>6.0</v>
      </c>
      <c r="L98" s="128" t="s">
        <v>41</v>
      </c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hidden="1">
      <c r="A99" s="1"/>
      <c r="B99" s="73"/>
      <c r="C99" s="128" t="s">
        <v>36</v>
      </c>
      <c r="D99" s="129" t="s">
        <v>56</v>
      </c>
      <c r="E99" s="130">
        <v>125.0</v>
      </c>
      <c r="F99" s="130">
        <v>90.0</v>
      </c>
      <c r="G99" s="130"/>
      <c r="H99" s="131" t="str">
        <f t="shared" si="8"/>
        <v>PVC Lej spustowy 12590</v>
      </c>
      <c r="I99" s="132">
        <v>26.69</v>
      </c>
      <c r="J99" s="133">
        <f t="shared" si="9"/>
        <v>32.8287</v>
      </c>
      <c r="K99" s="126">
        <v>7.0</v>
      </c>
      <c r="L99" s="128" t="s">
        <v>73</v>
      </c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hidden="1">
      <c r="A100" s="1"/>
      <c r="B100" s="73"/>
      <c r="C100" s="128" t="s">
        <v>36</v>
      </c>
      <c r="D100" s="129" t="s">
        <v>56</v>
      </c>
      <c r="E100" s="130">
        <v>125.0</v>
      </c>
      <c r="F100" s="130">
        <v>110.0</v>
      </c>
      <c r="G100" s="130"/>
      <c r="H100" s="131" t="str">
        <f t="shared" si="8"/>
        <v>PVC Lej spustowy 125110</v>
      </c>
      <c r="I100" s="132">
        <v>28.11</v>
      </c>
      <c r="J100" s="133">
        <f t="shared" si="9"/>
        <v>34.5753</v>
      </c>
      <c r="K100" s="126">
        <v>8.0</v>
      </c>
      <c r="L100" s="128" t="s">
        <v>74</v>
      </c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hidden="1">
      <c r="A101" s="1"/>
      <c r="B101" s="73"/>
      <c r="C101" s="128" t="s">
        <v>36</v>
      </c>
      <c r="D101" s="129" t="s">
        <v>56</v>
      </c>
      <c r="E101" s="130">
        <v>150.0</v>
      </c>
      <c r="F101" s="130">
        <v>110.0</v>
      </c>
      <c r="G101" s="130"/>
      <c r="H101" s="131" t="str">
        <f t="shared" si="8"/>
        <v>PVC Lej spustowy 150110</v>
      </c>
      <c r="I101" s="132">
        <v>47.18</v>
      </c>
      <c r="J101" s="133">
        <f t="shared" si="9"/>
        <v>58.0314</v>
      </c>
      <c r="K101" s="126">
        <v>9.0</v>
      </c>
      <c r="L101" s="128" t="s">
        <v>75</v>
      </c>
      <c r="O101" s="132"/>
      <c r="P101" s="133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hidden="1">
      <c r="A102" s="1"/>
      <c r="B102" s="73"/>
      <c r="C102" s="128" t="s">
        <v>69</v>
      </c>
      <c r="D102" s="129" t="s">
        <v>56</v>
      </c>
      <c r="E102" s="130">
        <v>75.0</v>
      </c>
      <c r="F102" s="130"/>
      <c r="G102" s="130"/>
      <c r="H102" s="131" t="str">
        <f t="shared" si="8"/>
        <v>PVC Narożnik zew./wew.75</v>
      </c>
      <c r="I102" s="132">
        <v>24.35</v>
      </c>
      <c r="J102" s="133">
        <f t="shared" si="9"/>
        <v>29.9505</v>
      </c>
      <c r="K102" s="126">
        <v>10.0</v>
      </c>
      <c r="L102" s="128" t="s">
        <v>76</v>
      </c>
      <c r="O102" s="132"/>
      <c r="P102" s="133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hidden="1">
      <c r="A103" s="1"/>
      <c r="B103" s="73"/>
      <c r="C103" s="128" t="s">
        <v>69</v>
      </c>
      <c r="D103" s="129" t="s">
        <v>56</v>
      </c>
      <c r="E103" s="130">
        <v>100.0</v>
      </c>
      <c r="F103" s="130"/>
      <c r="G103" s="130"/>
      <c r="H103" s="131" t="str">
        <f t="shared" si="8"/>
        <v>PVC Narożnik zew./wew.100</v>
      </c>
      <c r="I103" s="132">
        <v>26.24</v>
      </c>
      <c r="J103" s="133">
        <f t="shared" si="9"/>
        <v>32.2752</v>
      </c>
      <c r="K103" s="126">
        <v>11.0</v>
      </c>
      <c r="L103" s="128" t="s">
        <v>77</v>
      </c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hidden="1">
      <c r="A104" s="1"/>
      <c r="B104" s="73"/>
      <c r="C104" s="128" t="s">
        <v>69</v>
      </c>
      <c r="D104" s="129" t="s">
        <v>56</v>
      </c>
      <c r="E104" s="130">
        <v>125.0</v>
      </c>
      <c r="F104" s="130"/>
      <c r="G104" s="130"/>
      <c r="H104" s="131" t="str">
        <f t="shared" si="8"/>
        <v>PVC Narożnik zew./wew.125</v>
      </c>
      <c r="I104" s="132">
        <v>28.11</v>
      </c>
      <c r="J104" s="133">
        <f t="shared" si="9"/>
        <v>34.5753</v>
      </c>
      <c r="K104" s="126">
        <v>12.0</v>
      </c>
      <c r="L104" s="128" t="s">
        <v>78</v>
      </c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hidden="1">
      <c r="A105" s="1"/>
      <c r="B105" s="73"/>
      <c r="C105" s="128" t="s">
        <v>69</v>
      </c>
      <c r="D105" s="129" t="s">
        <v>56</v>
      </c>
      <c r="E105" s="130">
        <v>150.0</v>
      </c>
      <c r="F105" s="130"/>
      <c r="G105" s="130"/>
      <c r="H105" s="131" t="str">
        <f t="shared" si="8"/>
        <v>PVC Narożnik zew./wew.150</v>
      </c>
      <c r="I105" s="132">
        <v>32.85</v>
      </c>
      <c r="J105" s="133">
        <f t="shared" si="9"/>
        <v>40.4055</v>
      </c>
      <c r="K105" s="126">
        <v>13.0</v>
      </c>
      <c r="L105" s="128" t="s">
        <v>79</v>
      </c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hidden="1">
      <c r="A106" s="1"/>
      <c r="B106" s="73"/>
      <c r="C106" s="128" t="s">
        <v>70</v>
      </c>
      <c r="D106" s="129" t="s">
        <v>56</v>
      </c>
      <c r="E106" s="130">
        <v>75.0</v>
      </c>
      <c r="F106" s="130"/>
      <c r="G106" s="130"/>
      <c r="H106" s="131" t="str">
        <f t="shared" si="8"/>
        <v>PVC Narożnik zew./wew. dowolny kąt75</v>
      </c>
      <c r="I106" s="132">
        <v>89.95</v>
      </c>
      <c r="J106" s="133">
        <f t="shared" si="9"/>
        <v>110.6385</v>
      </c>
      <c r="K106" s="126">
        <v>1.0</v>
      </c>
      <c r="L106" s="135" t="str">
        <f>IF('Rynny Gamrat'!C12="PVC ","Hak obejmy ",IF('Rynny Gamrat'!C12="PVC+ " ,"Hak obejmy ","Śruba "))</f>
        <v>Hak obejmy </v>
      </c>
      <c r="M106" s="126" t="s">
        <v>80</v>
      </c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hidden="1">
      <c r="A107" s="1"/>
      <c r="B107" s="73"/>
      <c r="C107" s="128" t="s">
        <v>81</v>
      </c>
      <c r="D107" s="129" t="s">
        <v>56</v>
      </c>
      <c r="E107" s="130">
        <v>100.0</v>
      </c>
      <c r="F107" s="130"/>
      <c r="G107" s="130"/>
      <c r="H107" s="131" t="str">
        <f t="shared" si="8"/>
        <v>PVC Narożnik zew./wew.  dowolny kąt100</v>
      </c>
      <c r="I107" s="132">
        <v>96.63</v>
      </c>
      <c r="J107" s="133">
        <f t="shared" si="9"/>
        <v>118.8549</v>
      </c>
      <c r="K107" s="126">
        <v>2.0</v>
      </c>
      <c r="L107" s="128" t="s">
        <v>46</v>
      </c>
      <c r="M107" s="126" t="s">
        <v>82</v>
      </c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hidden="1">
      <c r="A108" s="1"/>
      <c r="B108" s="73"/>
      <c r="C108" s="128" t="s">
        <v>81</v>
      </c>
      <c r="D108" s="129" t="s">
        <v>56</v>
      </c>
      <c r="E108" s="130">
        <v>125.0</v>
      </c>
      <c r="F108" s="130"/>
      <c r="G108" s="130"/>
      <c r="H108" s="131" t="str">
        <f t="shared" si="8"/>
        <v>PVC Narożnik zew./wew.  dowolny kąt125</v>
      </c>
      <c r="I108" s="132">
        <v>99.89</v>
      </c>
      <c r="J108" s="133">
        <f t="shared" si="9"/>
        <v>122.8647</v>
      </c>
      <c r="K108" s="126">
        <v>3.0</v>
      </c>
      <c r="L108" s="128" t="s">
        <v>45</v>
      </c>
      <c r="M108" s="126" t="s">
        <v>83</v>
      </c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hidden="1">
      <c r="A109" s="1"/>
      <c r="B109" s="73"/>
      <c r="C109" s="128" t="s">
        <v>81</v>
      </c>
      <c r="D109" s="129" t="s">
        <v>56</v>
      </c>
      <c r="E109" s="130">
        <v>150.0</v>
      </c>
      <c r="F109" s="130"/>
      <c r="G109" s="130"/>
      <c r="H109" s="131" t="str">
        <f t="shared" si="8"/>
        <v>PVC Narożnik zew./wew.  dowolny kąt150</v>
      </c>
      <c r="I109" s="132">
        <v>117.44</v>
      </c>
      <c r="J109" s="133">
        <f t="shared" si="9"/>
        <v>144.4512</v>
      </c>
      <c r="K109" s="126">
        <v>4.0</v>
      </c>
      <c r="L109" s="128" t="s">
        <v>84</v>
      </c>
      <c r="M109" s="126" t="s">
        <v>44</v>
      </c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hidden="1">
      <c r="A110" s="1"/>
      <c r="B110" s="73"/>
      <c r="C110" s="128" t="s">
        <v>39</v>
      </c>
      <c r="D110" s="129" t="s">
        <v>56</v>
      </c>
      <c r="E110" s="130"/>
      <c r="F110" s="130">
        <v>63.0</v>
      </c>
      <c r="G110" s="130"/>
      <c r="H110" s="131" t="str">
        <f t="shared" si="8"/>
        <v>PVC Rura spustowa 3m 63</v>
      </c>
      <c r="I110" s="132">
        <f>17.3*3</f>
        <v>51.9</v>
      </c>
      <c r="J110" s="133">
        <f t="shared" si="9"/>
        <v>63.837</v>
      </c>
      <c r="K110" s="126">
        <v>5.0</v>
      </c>
      <c r="L110" s="128" t="s">
        <v>85</v>
      </c>
      <c r="M110" s="126" t="s">
        <v>86</v>
      </c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hidden="1">
      <c r="A111" s="1"/>
      <c r="B111" s="73"/>
      <c r="C111" s="128" t="s">
        <v>39</v>
      </c>
      <c r="D111" s="129" t="s">
        <v>56</v>
      </c>
      <c r="E111" s="130"/>
      <c r="F111" s="130">
        <v>90.0</v>
      </c>
      <c r="G111" s="130"/>
      <c r="H111" s="131" t="str">
        <f t="shared" si="8"/>
        <v>PVC Rura spustowa 3m 90</v>
      </c>
      <c r="I111" s="132">
        <f>21.96*3</f>
        <v>65.88</v>
      </c>
      <c r="J111" s="133">
        <f t="shared" si="9"/>
        <v>81.0324</v>
      </c>
      <c r="K111" s="126">
        <v>6.0</v>
      </c>
      <c r="L111" s="128" t="s">
        <v>87</v>
      </c>
      <c r="M111" s="126" t="s">
        <v>88</v>
      </c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hidden="1">
      <c r="A112" s="1"/>
      <c r="B112" s="73"/>
      <c r="C112" s="128" t="s">
        <v>39</v>
      </c>
      <c r="D112" s="129" t="s">
        <v>56</v>
      </c>
      <c r="E112" s="130"/>
      <c r="F112" s="130">
        <v>110.0</v>
      </c>
      <c r="G112" s="130"/>
      <c r="H112" s="131" t="str">
        <f t="shared" si="8"/>
        <v>PVC Rura spustowa 3m 110</v>
      </c>
      <c r="I112" s="132">
        <f>25.72*3</f>
        <v>77.16</v>
      </c>
      <c r="J112" s="133">
        <f t="shared" si="9"/>
        <v>94.9068</v>
      </c>
      <c r="K112" s="126">
        <v>7.0</v>
      </c>
      <c r="L112" s="128" t="s">
        <v>89</v>
      </c>
      <c r="M112" s="126" t="s">
        <v>90</v>
      </c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hidden="1">
      <c r="A113" s="1"/>
      <c r="B113" s="73"/>
      <c r="C113" s="128" t="s">
        <v>38</v>
      </c>
      <c r="D113" s="129" t="s">
        <v>56</v>
      </c>
      <c r="E113" s="130"/>
      <c r="F113" s="130">
        <v>63.0</v>
      </c>
      <c r="G113" s="130"/>
      <c r="H113" s="131" t="str">
        <f t="shared" si="8"/>
        <v>PVC Rura spustowa 4m 63</v>
      </c>
      <c r="I113" s="132">
        <f>17.3*4</f>
        <v>69.2</v>
      </c>
      <c r="J113" s="133">
        <f t="shared" si="9"/>
        <v>85.116</v>
      </c>
      <c r="K113" s="126">
        <v>8.0</v>
      </c>
      <c r="L113" s="128" t="s">
        <v>91</v>
      </c>
      <c r="M113" s="126" t="s">
        <v>92</v>
      </c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hidden="1">
      <c r="A114" s="1"/>
      <c r="B114" s="73"/>
      <c r="C114" s="128" t="s">
        <v>38</v>
      </c>
      <c r="D114" s="129" t="s">
        <v>56</v>
      </c>
      <c r="E114" s="130"/>
      <c r="F114" s="130">
        <v>90.0</v>
      </c>
      <c r="G114" s="130"/>
      <c r="H114" s="131" t="str">
        <f t="shared" si="8"/>
        <v>PVC Rura spustowa 4m 90</v>
      </c>
      <c r="I114" s="132">
        <f>21.96*4</f>
        <v>87.84</v>
      </c>
      <c r="J114" s="133">
        <f t="shared" si="9"/>
        <v>108.0432</v>
      </c>
      <c r="K114" s="126">
        <v>9.0</v>
      </c>
      <c r="L114" s="128" t="s">
        <v>93</v>
      </c>
      <c r="M114" s="126" t="s">
        <v>94</v>
      </c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hidden="1">
      <c r="A115" s="1"/>
      <c r="B115" s="73"/>
      <c r="C115" s="128" t="s">
        <v>38</v>
      </c>
      <c r="D115" s="129" t="s">
        <v>56</v>
      </c>
      <c r="E115" s="130"/>
      <c r="F115" s="130">
        <v>110.0</v>
      </c>
      <c r="G115" s="130"/>
      <c r="H115" s="131" t="str">
        <f t="shared" si="8"/>
        <v>PVC Rura spustowa 4m 110</v>
      </c>
      <c r="I115" s="132">
        <f>25.72*4</f>
        <v>102.88</v>
      </c>
      <c r="J115" s="133">
        <f t="shared" si="9"/>
        <v>126.5424</v>
      </c>
      <c r="K115" s="126">
        <v>10.0</v>
      </c>
      <c r="L115" s="136" t="s">
        <v>95</v>
      </c>
      <c r="P115" s="137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hidden="1">
      <c r="A116" s="1"/>
      <c r="B116" s="73"/>
      <c r="C116" s="128" t="s">
        <v>71</v>
      </c>
      <c r="D116" s="129" t="s">
        <v>56</v>
      </c>
      <c r="E116" s="130"/>
      <c r="F116" s="130">
        <v>63.0</v>
      </c>
      <c r="G116" s="130"/>
      <c r="H116" s="131" t="str">
        <f t="shared" si="8"/>
        <v>PVC Złączka rury 63</v>
      </c>
      <c r="I116" s="132">
        <v>12.32</v>
      </c>
      <c r="J116" s="133">
        <f t="shared" si="9"/>
        <v>15.1536</v>
      </c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hidden="1">
      <c r="A117" s="1"/>
      <c r="B117" s="73"/>
      <c r="C117" s="128" t="s">
        <v>71</v>
      </c>
      <c r="D117" s="129" t="s">
        <v>56</v>
      </c>
      <c r="E117" s="130"/>
      <c r="F117" s="130">
        <v>90.0</v>
      </c>
      <c r="G117" s="130"/>
      <c r="H117" s="131" t="str">
        <f t="shared" si="8"/>
        <v>PVC Złączka rury 90</v>
      </c>
      <c r="I117" s="132">
        <v>15.09</v>
      </c>
      <c r="J117" s="133">
        <f t="shared" si="9"/>
        <v>18.5607</v>
      </c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hidden="1">
      <c r="A118" s="1"/>
      <c r="B118" s="73"/>
      <c r="C118" s="128" t="s">
        <v>71</v>
      </c>
      <c r="D118" s="129" t="s">
        <v>56</v>
      </c>
      <c r="E118" s="130"/>
      <c r="F118" s="130">
        <v>110.0</v>
      </c>
      <c r="G118" s="130"/>
      <c r="H118" s="131" t="str">
        <f t="shared" si="8"/>
        <v>PVC Złączka rury 110</v>
      </c>
      <c r="I118" s="132">
        <v>18.73</v>
      </c>
      <c r="J118" s="133">
        <f t="shared" si="9"/>
        <v>23.0379</v>
      </c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hidden="1">
      <c r="A119" s="1"/>
      <c r="B119" s="73"/>
      <c r="C119" s="128" t="s">
        <v>40</v>
      </c>
      <c r="D119" s="129" t="s">
        <v>56</v>
      </c>
      <c r="E119" s="130"/>
      <c r="F119" s="130">
        <v>63.0</v>
      </c>
      <c r="G119" s="130"/>
      <c r="H119" s="131" t="str">
        <f t="shared" si="8"/>
        <v>PVC Kolanko 63</v>
      </c>
      <c r="I119" s="132">
        <v>15.89</v>
      </c>
      <c r="J119" s="133">
        <f t="shared" si="9"/>
        <v>19.5447</v>
      </c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hidden="1">
      <c r="A120" s="1"/>
      <c r="B120" s="73"/>
      <c r="C120" s="128" t="s">
        <v>40</v>
      </c>
      <c r="D120" s="129" t="s">
        <v>56</v>
      </c>
      <c r="E120" s="130"/>
      <c r="F120" s="130">
        <v>90.0</v>
      </c>
      <c r="G120" s="130"/>
      <c r="H120" s="131" t="str">
        <f t="shared" si="8"/>
        <v>PVC Kolanko 90</v>
      </c>
      <c r="I120" s="132">
        <v>18.47</v>
      </c>
      <c r="J120" s="133">
        <f t="shared" si="9"/>
        <v>22.7181</v>
      </c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hidden="1">
      <c r="A121" s="1"/>
      <c r="B121" s="73"/>
      <c r="C121" s="128" t="s">
        <v>40</v>
      </c>
      <c r="D121" s="129" t="s">
        <v>56</v>
      </c>
      <c r="E121" s="130"/>
      <c r="F121" s="130">
        <v>110.0</v>
      </c>
      <c r="G121" s="130"/>
      <c r="H121" s="131" t="str">
        <f t="shared" si="8"/>
        <v>PVC Kolanko 110</v>
      </c>
      <c r="I121" s="132">
        <v>22.71</v>
      </c>
      <c r="J121" s="133">
        <f t="shared" si="9"/>
        <v>27.9333</v>
      </c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hidden="1">
      <c r="A122" s="1"/>
      <c r="B122" s="73"/>
      <c r="C122" s="128" t="s">
        <v>72</v>
      </c>
      <c r="D122" s="129" t="s">
        <v>56</v>
      </c>
      <c r="E122" s="130"/>
      <c r="F122" s="130">
        <v>63.0</v>
      </c>
      <c r="G122" s="130"/>
      <c r="H122" s="131" t="str">
        <f t="shared" si="8"/>
        <v>PVC Kolanko dowolny kąt 63</v>
      </c>
      <c r="I122" s="132">
        <v>65.23</v>
      </c>
      <c r="J122" s="133">
        <f t="shared" si="9"/>
        <v>80.2329</v>
      </c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hidden="1">
      <c r="A123" s="1"/>
      <c r="B123" s="73"/>
      <c r="C123" s="128" t="s">
        <v>72</v>
      </c>
      <c r="D123" s="129" t="s">
        <v>56</v>
      </c>
      <c r="E123" s="130"/>
      <c r="F123" s="130">
        <v>90.0</v>
      </c>
      <c r="G123" s="130"/>
      <c r="H123" s="131" t="str">
        <f t="shared" si="8"/>
        <v>PVC Kolanko dowolny kąt 90</v>
      </c>
      <c r="I123" s="132">
        <v>66.03</v>
      </c>
      <c r="J123" s="133">
        <f t="shared" si="9"/>
        <v>81.2169</v>
      </c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hidden="1">
      <c r="A124" s="1"/>
      <c r="B124" s="73"/>
      <c r="C124" s="128" t="s">
        <v>72</v>
      </c>
      <c r="D124" s="129" t="s">
        <v>56</v>
      </c>
      <c r="E124" s="130"/>
      <c r="F124" s="130">
        <v>110.0</v>
      </c>
      <c r="G124" s="130"/>
      <c r="H124" s="131" t="str">
        <f t="shared" si="8"/>
        <v>PVC Kolanko dowolny kąt 110</v>
      </c>
      <c r="I124" s="132">
        <v>74.26</v>
      </c>
      <c r="J124" s="133">
        <f t="shared" si="9"/>
        <v>91.3398</v>
      </c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hidden="1">
      <c r="A125" s="1"/>
      <c r="B125" s="73"/>
      <c r="C125" s="128" t="s">
        <v>41</v>
      </c>
      <c r="D125" s="129" t="s">
        <v>56</v>
      </c>
      <c r="E125" s="130"/>
      <c r="F125" s="130">
        <v>63.0</v>
      </c>
      <c r="G125" s="130"/>
      <c r="H125" s="131" t="str">
        <f t="shared" si="8"/>
        <v>PVC Obejma 63</v>
      </c>
      <c r="I125" s="132">
        <v>6.97</v>
      </c>
      <c r="J125" s="133">
        <f t="shared" si="9"/>
        <v>8.5731</v>
      </c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hidden="1">
      <c r="A126" s="1"/>
      <c r="B126" s="73"/>
      <c r="C126" s="128" t="s">
        <v>41</v>
      </c>
      <c r="D126" s="129" t="s">
        <v>56</v>
      </c>
      <c r="E126" s="130"/>
      <c r="F126" s="130">
        <v>90.0</v>
      </c>
      <c r="G126" s="130"/>
      <c r="H126" s="131" t="str">
        <f t="shared" si="8"/>
        <v>PVC Obejma 90</v>
      </c>
      <c r="I126" s="132">
        <v>8.31</v>
      </c>
      <c r="J126" s="133">
        <f t="shared" si="9"/>
        <v>10.2213</v>
      </c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hidden="1">
      <c r="A127" s="1"/>
      <c r="B127" s="73"/>
      <c r="C127" s="128" t="s">
        <v>41</v>
      </c>
      <c r="D127" s="129" t="s">
        <v>56</v>
      </c>
      <c r="E127" s="130"/>
      <c r="F127" s="130">
        <v>110.0</v>
      </c>
      <c r="G127" s="130"/>
      <c r="H127" s="131" t="str">
        <f t="shared" si="8"/>
        <v>PVC Obejma 110</v>
      </c>
      <c r="I127" s="132">
        <v>10.35</v>
      </c>
      <c r="J127" s="133">
        <f t="shared" si="9"/>
        <v>12.7305</v>
      </c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hidden="1">
      <c r="A128" s="1"/>
      <c r="B128" s="73"/>
      <c r="C128" s="128" t="s">
        <v>73</v>
      </c>
      <c r="D128" s="129" t="s">
        <v>56</v>
      </c>
      <c r="E128" s="130"/>
      <c r="F128" s="130">
        <v>110.0</v>
      </c>
      <c r="G128" s="130"/>
      <c r="H128" s="131" t="str">
        <f t="shared" si="8"/>
        <v>PVC Rewizja 110</v>
      </c>
      <c r="I128" s="132">
        <v>48.17</v>
      </c>
      <c r="J128" s="133">
        <f t="shared" si="9"/>
        <v>59.2491</v>
      </c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hidden="1">
      <c r="A129" s="1"/>
      <c r="B129" s="73"/>
      <c r="C129" s="128" t="s">
        <v>85</v>
      </c>
      <c r="D129" s="129" t="s">
        <v>56</v>
      </c>
      <c r="E129" s="130"/>
      <c r="F129" s="130"/>
      <c r="G129" s="130"/>
      <c r="H129" s="131" t="str">
        <f t="shared" si="8"/>
        <v>PVC Wylewka rewizji </v>
      </c>
      <c r="I129" s="132">
        <v>9.45</v>
      </c>
      <c r="J129" s="133">
        <f t="shared" si="9"/>
        <v>11.6235</v>
      </c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hidden="1">
      <c r="A130" s="1"/>
      <c r="B130" s="73"/>
      <c r="C130" s="128" t="s">
        <v>87</v>
      </c>
      <c r="D130" s="129" t="s">
        <v>56</v>
      </c>
      <c r="E130" s="130"/>
      <c r="F130" s="130"/>
      <c r="G130" s="130"/>
      <c r="H130" s="131" t="str">
        <f t="shared" si="8"/>
        <v>PVC Sitko rewizji </v>
      </c>
      <c r="I130" s="132">
        <v>3.66</v>
      </c>
      <c r="J130" s="133">
        <f t="shared" si="9"/>
        <v>4.5018</v>
      </c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hidden="1">
      <c r="A131" s="1"/>
      <c r="B131" s="73"/>
      <c r="C131" s="128" t="s">
        <v>89</v>
      </c>
      <c r="D131" s="129" t="s">
        <v>56</v>
      </c>
      <c r="E131" s="130"/>
      <c r="F131" s="130"/>
      <c r="G131" s="130"/>
      <c r="H131" s="131" t="str">
        <f t="shared" si="8"/>
        <v>PVC Nakrętka rewizji </v>
      </c>
      <c r="I131" s="132">
        <v>11.47</v>
      </c>
      <c r="J131" s="133">
        <f t="shared" si="9"/>
        <v>14.1081</v>
      </c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hidden="1">
      <c r="A132" s="1"/>
      <c r="B132" s="73"/>
      <c r="C132" s="128" t="s">
        <v>74</v>
      </c>
      <c r="D132" s="129" t="s">
        <v>56</v>
      </c>
      <c r="E132" s="130"/>
      <c r="F132" s="130">
        <v>90.0</v>
      </c>
      <c r="G132" s="130"/>
      <c r="H132" s="131" t="str">
        <f t="shared" si="8"/>
        <v>PVC Trójnik 90</v>
      </c>
      <c r="I132" s="132">
        <v>30.33</v>
      </c>
      <c r="J132" s="133">
        <f t="shared" si="9"/>
        <v>37.3059</v>
      </c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hidden="1">
      <c r="A133" s="1"/>
      <c r="B133" s="73"/>
      <c r="C133" s="128" t="s">
        <v>74</v>
      </c>
      <c r="D133" s="129" t="s">
        <v>56</v>
      </c>
      <c r="E133" s="130"/>
      <c r="F133" s="130">
        <v>110.0</v>
      </c>
      <c r="G133" s="130" t="s">
        <v>96</v>
      </c>
      <c r="H133" s="131" t="str">
        <f t="shared" si="8"/>
        <v>PVC Trójnik 110/63 </v>
      </c>
      <c r="I133" s="132">
        <v>30.03</v>
      </c>
      <c r="J133" s="133">
        <f t="shared" si="9"/>
        <v>36.9369</v>
      </c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hidden="1">
      <c r="A134" s="1"/>
      <c r="B134" s="73"/>
      <c r="C134" s="128" t="s">
        <v>74</v>
      </c>
      <c r="D134" s="129" t="s">
        <v>56</v>
      </c>
      <c r="E134" s="130"/>
      <c r="F134" s="130">
        <v>110.0</v>
      </c>
      <c r="G134" s="130"/>
      <c r="H134" s="131" t="str">
        <f t="shared" si="8"/>
        <v>PVC Trójnik 110</v>
      </c>
      <c r="I134" s="132">
        <v>38.37</v>
      </c>
      <c r="J134" s="133">
        <f t="shared" si="9"/>
        <v>47.1951</v>
      </c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hidden="1">
      <c r="A135" s="1"/>
      <c r="B135" s="73"/>
      <c r="C135" s="128" t="s">
        <v>74</v>
      </c>
      <c r="D135" s="129" t="s">
        <v>56</v>
      </c>
      <c r="E135" s="130"/>
      <c r="F135" s="130">
        <v>63.0</v>
      </c>
      <c r="G135" s="130"/>
      <c r="H135" s="131" t="str">
        <f t="shared" si="8"/>
        <v>PVC Trójnik 63</v>
      </c>
      <c r="I135" s="132">
        <v>97.87</v>
      </c>
      <c r="J135" s="133">
        <f t="shared" si="9"/>
        <v>120.3801</v>
      </c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hidden="1">
      <c r="A136" s="1"/>
      <c r="B136" s="73"/>
      <c r="C136" s="128" t="s">
        <v>84</v>
      </c>
      <c r="D136" s="129" t="s">
        <v>56</v>
      </c>
      <c r="E136" s="130"/>
      <c r="F136" s="130"/>
      <c r="G136" s="130"/>
      <c r="H136" s="131" t="str">
        <f t="shared" si="8"/>
        <v>PVC Osadnik do rur spustowych </v>
      </c>
      <c r="I136" s="132">
        <v>48.35</v>
      </c>
      <c r="J136" s="133">
        <f t="shared" si="9"/>
        <v>59.4705</v>
      </c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hidden="1">
      <c r="A137" s="1"/>
      <c r="B137" s="73"/>
      <c r="C137" s="128" t="s">
        <v>97</v>
      </c>
      <c r="D137" s="129" t="s">
        <v>56</v>
      </c>
      <c r="E137" s="130"/>
      <c r="F137" s="130">
        <v>110.0</v>
      </c>
      <c r="G137" s="130" t="s">
        <v>96</v>
      </c>
      <c r="H137" s="131" t="str">
        <f t="shared" si="8"/>
        <v>PVC Redukcja 110/63 </v>
      </c>
      <c r="I137" s="132">
        <v>18.32</v>
      </c>
      <c r="J137" s="133">
        <f t="shared" si="9"/>
        <v>22.5336</v>
      </c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hidden="1">
      <c r="A138" s="1"/>
      <c r="B138" s="73"/>
      <c r="C138" s="128" t="s">
        <v>97</v>
      </c>
      <c r="D138" s="129" t="s">
        <v>56</v>
      </c>
      <c r="E138" s="130"/>
      <c r="F138" s="130">
        <v>110.0</v>
      </c>
      <c r="G138" s="130" t="s">
        <v>98</v>
      </c>
      <c r="H138" s="131" t="str">
        <f t="shared" si="8"/>
        <v>PVC Redukcja 110/90 </v>
      </c>
      <c r="I138" s="132">
        <v>75.73</v>
      </c>
      <c r="J138" s="133">
        <f t="shared" si="9"/>
        <v>93.1479</v>
      </c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hidden="1">
      <c r="A139" s="1"/>
      <c r="B139" s="73"/>
      <c r="C139" s="128" t="s">
        <v>99</v>
      </c>
      <c r="D139" s="129" t="s">
        <v>56</v>
      </c>
      <c r="E139" s="130"/>
      <c r="F139" s="130">
        <v>63.0</v>
      </c>
      <c r="G139" s="130" t="s">
        <v>98</v>
      </c>
      <c r="H139" s="131" t="str">
        <f t="shared" si="8"/>
        <v>PVC Redukcja odwrotna 63/90 </v>
      </c>
      <c r="I139" s="132">
        <v>15.09</v>
      </c>
      <c r="J139" s="133">
        <f t="shared" si="9"/>
        <v>18.5607</v>
      </c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hidden="1">
      <c r="A140" s="1"/>
      <c r="B140" s="73"/>
      <c r="C140" s="128" t="s">
        <v>91</v>
      </c>
      <c r="D140" s="129"/>
      <c r="E140" s="130"/>
      <c r="F140" s="130">
        <v>75.0</v>
      </c>
      <c r="G140" s="130"/>
      <c r="H140" s="131" t="str">
        <f t="shared" si="8"/>
        <v>PVC Uszczelka zapasowa 75</v>
      </c>
      <c r="I140" s="132">
        <v>0.9</v>
      </c>
      <c r="J140" s="133">
        <f t="shared" si="9"/>
        <v>1.107</v>
      </c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hidden="1">
      <c r="A141" s="1"/>
      <c r="B141" s="73"/>
      <c r="C141" s="128" t="s">
        <v>91</v>
      </c>
      <c r="D141" s="129"/>
      <c r="E141" s="130"/>
      <c r="F141" s="130">
        <v>100.0</v>
      </c>
      <c r="G141" s="130"/>
      <c r="H141" s="131" t="str">
        <f t="shared" si="8"/>
        <v>PVC Uszczelka zapasowa 100</v>
      </c>
      <c r="I141" s="132">
        <v>1.01</v>
      </c>
      <c r="J141" s="133">
        <f t="shared" si="9"/>
        <v>1.2423</v>
      </c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hidden="1">
      <c r="A142" s="1"/>
      <c r="B142" s="73"/>
      <c r="C142" s="128" t="s">
        <v>91</v>
      </c>
      <c r="D142" s="129"/>
      <c r="E142" s="130"/>
      <c r="F142" s="130">
        <v>125.0</v>
      </c>
      <c r="G142" s="130"/>
      <c r="H142" s="131" t="str">
        <f t="shared" si="8"/>
        <v>PVC Uszczelka zapasowa 125</v>
      </c>
      <c r="I142" s="132">
        <v>1.01</v>
      </c>
      <c r="J142" s="133">
        <f t="shared" si="9"/>
        <v>1.2423</v>
      </c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hidden="1">
      <c r="A143" s="1"/>
      <c r="B143" s="73"/>
      <c r="C143" s="128" t="s">
        <v>91</v>
      </c>
      <c r="D143" s="129"/>
      <c r="E143" s="130"/>
      <c r="F143" s="130">
        <v>150.0</v>
      </c>
      <c r="G143" s="130"/>
      <c r="H143" s="131" t="str">
        <f t="shared" si="8"/>
        <v>PVC Uszczelka zapasowa 150</v>
      </c>
      <c r="I143" s="132">
        <v>1.12</v>
      </c>
      <c r="J143" s="133">
        <f t="shared" si="9"/>
        <v>1.3776</v>
      </c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hidden="1">
      <c r="A144" s="1"/>
      <c r="B144" s="73"/>
      <c r="C144" s="128" t="s">
        <v>93</v>
      </c>
      <c r="D144" s="129"/>
      <c r="E144" s="130"/>
      <c r="F144" s="130"/>
      <c r="G144" s="130"/>
      <c r="H144" s="131" t="str">
        <f t="shared" si="8"/>
        <v>PVC Przejście adaptacyjne 90/110 </v>
      </c>
      <c r="I144" s="132">
        <v>16.79</v>
      </c>
      <c r="J144" s="133">
        <f t="shared" si="9"/>
        <v>20.6517</v>
      </c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hidden="1">
      <c r="A145" s="1"/>
      <c r="B145" s="73"/>
      <c r="C145" s="128" t="s">
        <v>100</v>
      </c>
      <c r="D145" s="129"/>
      <c r="E145" s="130"/>
      <c r="F145" s="130"/>
      <c r="G145" s="130"/>
      <c r="H145" s="131" t="str">
        <f t="shared" si="8"/>
        <v>PVC Hak obejmy L-120 </v>
      </c>
      <c r="I145" s="132">
        <v>7.27</v>
      </c>
      <c r="J145" s="133">
        <f t="shared" si="9"/>
        <v>8.9421</v>
      </c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hidden="1">
      <c r="A146" s="1"/>
      <c r="B146" s="73"/>
      <c r="C146" s="128" t="s">
        <v>101</v>
      </c>
      <c r="D146" s="129"/>
      <c r="E146" s="130"/>
      <c r="F146" s="130"/>
      <c r="G146" s="130"/>
      <c r="H146" s="131" t="str">
        <f t="shared" si="8"/>
        <v>PVC Hak obejmy L-140 </v>
      </c>
      <c r="I146" s="132">
        <v>7.71</v>
      </c>
      <c r="J146" s="133">
        <f t="shared" si="9"/>
        <v>9.4833</v>
      </c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hidden="1">
      <c r="A147" s="1"/>
      <c r="B147" s="73"/>
      <c r="C147" s="128" t="s">
        <v>102</v>
      </c>
      <c r="D147" s="129"/>
      <c r="E147" s="130"/>
      <c r="F147" s="130"/>
      <c r="G147" s="130"/>
      <c r="H147" s="131" t="str">
        <f t="shared" si="8"/>
        <v>PVC Hak obejmy L-160 </v>
      </c>
      <c r="I147" s="132">
        <v>8.11</v>
      </c>
      <c r="J147" s="133">
        <f t="shared" si="9"/>
        <v>9.9753</v>
      </c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hidden="1">
      <c r="A148" s="1"/>
      <c r="B148" s="73"/>
      <c r="C148" s="128" t="s">
        <v>103</v>
      </c>
      <c r="D148" s="129"/>
      <c r="E148" s="130"/>
      <c r="F148" s="130"/>
      <c r="G148" s="130"/>
      <c r="H148" s="131" t="str">
        <f t="shared" si="8"/>
        <v>PVC Hak obejmy L-180 </v>
      </c>
      <c r="I148" s="132">
        <v>8.34</v>
      </c>
      <c r="J148" s="133">
        <f t="shared" si="9"/>
        <v>10.2582</v>
      </c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hidden="1">
      <c r="A149" s="1"/>
      <c r="B149" s="73"/>
      <c r="C149" s="128" t="s">
        <v>104</v>
      </c>
      <c r="D149" s="129"/>
      <c r="E149" s="130"/>
      <c r="F149" s="130"/>
      <c r="G149" s="130"/>
      <c r="H149" s="131" t="str">
        <f t="shared" si="8"/>
        <v>PVC Hak obejmy L-200 </v>
      </c>
      <c r="I149" s="132">
        <v>8.84</v>
      </c>
      <c r="J149" s="133">
        <f t="shared" si="9"/>
        <v>10.8732</v>
      </c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hidden="1">
      <c r="A150" s="1"/>
      <c r="B150" s="73"/>
      <c r="C150" s="128" t="s">
        <v>105</v>
      </c>
      <c r="D150" s="129"/>
      <c r="E150" s="130"/>
      <c r="F150" s="130"/>
      <c r="G150" s="130"/>
      <c r="H150" s="131" t="str">
        <f t="shared" si="8"/>
        <v>PVC Hak obejmy L-220 </v>
      </c>
      <c r="I150" s="132">
        <v>9.32</v>
      </c>
      <c r="J150" s="133">
        <f t="shared" si="9"/>
        <v>11.4636</v>
      </c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hidden="1">
      <c r="A151" s="1"/>
      <c r="B151" s="73"/>
      <c r="C151" s="128" t="s">
        <v>106</v>
      </c>
      <c r="D151" s="129"/>
      <c r="E151" s="130"/>
      <c r="F151" s="130"/>
      <c r="G151" s="130"/>
      <c r="H151" s="131" t="str">
        <f t="shared" si="8"/>
        <v>PVC Hak obejmy L-250 </v>
      </c>
      <c r="I151" s="132">
        <v>10.01</v>
      </c>
      <c r="J151" s="133">
        <f t="shared" si="9"/>
        <v>12.3123</v>
      </c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hidden="1">
      <c r="A152" s="1"/>
      <c r="B152" s="73"/>
      <c r="C152" s="128" t="s">
        <v>107</v>
      </c>
      <c r="D152" s="129"/>
      <c r="E152" s="130"/>
      <c r="F152" s="130"/>
      <c r="G152" s="130"/>
      <c r="H152" s="131" t="str">
        <f t="shared" si="8"/>
        <v>PVC Hak obejmy L-300 </v>
      </c>
      <c r="I152" s="132">
        <v>10.61</v>
      </c>
      <c r="J152" s="133">
        <f t="shared" si="9"/>
        <v>13.0503</v>
      </c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hidden="1">
      <c r="A153" s="1"/>
      <c r="B153" s="73"/>
      <c r="C153" s="128" t="s">
        <v>46</v>
      </c>
      <c r="D153" s="129" t="s">
        <v>56</v>
      </c>
      <c r="E153" s="130"/>
      <c r="F153" s="130"/>
      <c r="G153" s="130"/>
      <c r="H153" s="131" t="str">
        <f t="shared" si="8"/>
        <v>PVC Wspornik aluminiowy </v>
      </c>
      <c r="I153" s="132">
        <v>5.38</v>
      </c>
      <c r="J153" s="133">
        <f t="shared" si="9"/>
        <v>6.6174</v>
      </c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hidden="1">
      <c r="A154" s="1"/>
      <c r="B154" s="73"/>
      <c r="C154" s="128" t="s">
        <v>45</v>
      </c>
      <c r="D154" s="129" t="s">
        <v>56</v>
      </c>
      <c r="E154" s="130"/>
      <c r="F154" s="130"/>
      <c r="G154" s="130"/>
      <c r="H154" s="131" t="str">
        <f t="shared" si="8"/>
        <v>PVC Stopka do obejm </v>
      </c>
      <c r="I154" s="132">
        <v>6.65</v>
      </c>
      <c r="J154" s="133">
        <f t="shared" si="9"/>
        <v>8.1795</v>
      </c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hidden="1">
      <c r="A155" s="1"/>
      <c r="B155" s="83"/>
      <c r="C155" s="136" t="s">
        <v>95</v>
      </c>
      <c r="D155" s="138"/>
      <c r="E155" s="139"/>
      <c r="F155" s="139"/>
      <c r="G155" s="139"/>
      <c r="H155" s="140" t="str">
        <f t="shared" si="8"/>
        <v>PVC Pasta poślizgowa </v>
      </c>
      <c r="I155" s="141">
        <v>18.77</v>
      </c>
      <c r="J155" s="142">
        <f t="shared" si="9"/>
        <v>23.0871</v>
      </c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hidden="1">
      <c r="A156" s="1"/>
      <c r="B156" s="127" t="s">
        <v>61</v>
      </c>
      <c r="C156" s="128" t="s">
        <v>32</v>
      </c>
      <c r="D156" s="129" t="s">
        <v>63</v>
      </c>
      <c r="E156" s="130">
        <v>125.0</v>
      </c>
      <c r="F156" s="130"/>
      <c r="G156" s="130"/>
      <c r="H156" s="131" t="str">
        <f t="shared" ref="H156:H198" si="10">$B$156&amp;C156&amp;E156&amp;F156&amp;G156</f>
        <v>Metalowe Rynna 3m 125</v>
      </c>
      <c r="I156" s="133">
        <f>32.9*3</f>
        <v>98.7</v>
      </c>
      <c r="J156" s="133">
        <f t="shared" si="9"/>
        <v>121.401</v>
      </c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hidden="1">
      <c r="A157" s="1"/>
      <c r="B157" s="73"/>
      <c r="C157" s="128" t="s">
        <v>31</v>
      </c>
      <c r="D157" s="129" t="s">
        <v>63</v>
      </c>
      <c r="E157" s="130">
        <v>125.0</v>
      </c>
      <c r="F157" s="130"/>
      <c r="G157" s="130"/>
      <c r="H157" s="131" t="str">
        <f t="shared" si="10"/>
        <v>Metalowe Rynna 4m 125</v>
      </c>
      <c r="I157" s="133">
        <f>32.9*4</f>
        <v>131.6</v>
      </c>
      <c r="J157" s="133">
        <f t="shared" si="9"/>
        <v>161.868</v>
      </c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hidden="1">
      <c r="A158" s="1"/>
      <c r="B158" s="73"/>
      <c r="C158" s="128" t="s">
        <v>32</v>
      </c>
      <c r="D158" s="129" t="s">
        <v>63</v>
      </c>
      <c r="E158" s="130">
        <v>150.0</v>
      </c>
      <c r="F158" s="130"/>
      <c r="G158" s="130"/>
      <c r="H158" s="131" t="str">
        <f t="shared" si="10"/>
        <v>Metalowe Rynna 3m 150</v>
      </c>
      <c r="I158" s="133">
        <f>39.8*3</f>
        <v>119.4</v>
      </c>
      <c r="J158" s="133">
        <f t="shared" si="9"/>
        <v>146.862</v>
      </c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hidden="1">
      <c r="A159" s="1"/>
      <c r="B159" s="73"/>
      <c r="C159" s="128" t="s">
        <v>31</v>
      </c>
      <c r="D159" s="129" t="s">
        <v>63</v>
      </c>
      <c r="E159" s="130">
        <v>150.0</v>
      </c>
      <c r="F159" s="130"/>
      <c r="G159" s="130"/>
      <c r="H159" s="131" t="str">
        <f t="shared" si="10"/>
        <v>Metalowe Rynna 4m 150</v>
      </c>
      <c r="I159" s="133">
        <f>39.8*4</f>
        <v>159.2</v>
      </c>
      <c r="J159" s="133">
        <f t="shared" si="9"/>
        <v>195.816</v>
      </c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hidden="1">
      <c r="A160" s="1"/>
      <c r="B160" s="73"/>
      <c r="C160" s="128" t="s">
        <v>34</v>
      </c>
      <c r="D160" s="129" t="s">
        <v>63</v>
      </c>
      <c r="E160" s="130">
        <v>125.0</v>
      </c>
      <c r="F160" s="130"/>
      <c r="G160" s="130"/>
      <c r="H160" s="131" t="str">
        <f t="shared" si="10"/>
        <v>Metalowe Rynhak 125</v>
      </c>
      <c r="I160" s="132">
        <v>12.81</v>
      </c>
      <c r="J160" s="133">
        <f t="shared" si="9"/>
        <v>15.7563</v>
      </c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hidden="1">
      <c r="A161" s="1"/>
      <c r="B161" s="73"/>
      <c r="C161" s="128" t="s">
        <v>34</v>
      </c>
      <c r="D161" s="129" t="s">
        <v>63</v>
      </c>
      <c r="E161" s="130">
        <v>150.0</v>
      </c>
      <c r="F161" s="130"/>
      <c r="G161" s="130"/>
      <c r="H161" s="131" t="str">
        <f t="shared" si="10"/>
        <v>Metalowe Rynhak 150</v>
      </c>
      <c r="I161" s="132">
        <v>14.73</v>
      </c>
      <c r="J161" s="133">
        <f t="shared" si="9"/>
        <v>18.1179</v>
      </c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hidden="1">
      <c r="A162" s="1"/>
      <c r="B162" s="73"/>
      <c r="C162" s="128" t="s">
        <v>67</v>
      </c>
      <c r="D162" s="129" t="s">
        <v>63</v>
      </c>
      <c r="E162" s="130">
        <v>125.0</v>
      </c>
      <c r="F162" s="130"/>
      <c r="G162" s="130"/>
      <c r="H162" s="131" t="str">
        <f t="shared" si="10"/>
        <v>Metalowe Rynajza 125</v>
      </c>
      <c r="I162" s="132">
        <v>21.86</v>
      </c>
      <c r="J162" s="133">
        <f t="shared" si="9"/>
        <v>26.8878</v>
      </c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hidden="1">
      <c r="A163" s="1"/>
      <c r="B163" s="73"/>
      <c r="C163" s="128" t="s">
        <v>67</v>
      </c>
      <c r="D163" s="129" t="s">
        <v>63</v>
      </c>
      <c r="E163" s="130">
        <v>150.0</v>
      </c>
      <c r="F163" s="130"/>
      <c r="G163" s="130"/>
      <c r="H163" s="131" t="str">
        <f t="shared" si="10"/>
        <v>Metalowe Rynajza 150</v>
      </c>
      <c r="I163" s="132">
        <v>23.32</v>
      </c>
      <c r="J163" s="133">
        <f t="shared" si="9"/>
        <v>28.6836</v>
      </c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hidden="1">
      <c r="A164" s="1"/>
      <c r="B164" s="73"/>
      <c r="C164" s="128" t="s">
        <v>68</v>
      </c>
      <c r="D164" s="129" t="s">
        <v>63</v>
      </c>
      <c r="E164" s="130">
        <v>125.0</v>
      </c>
      <c r="F164" s="130"/>
      <c r="G164" s="130"/>
      <c r="H164" s="131" t="str">
        <f t="shared" si="10"/>
        <v>Metalowe Denko uniwersalne 125</v>
      </c>
      <c r="I164" s="132">
        <v>20.01</v>
      </c>
      <c r="J164" s="133">
        <f t="shared" si="9"/>
        <v>24.6123</v>
      </c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hidden="1">
      <c r="A165" s="1"/>
      <c r="B165" s="73"/>
      <c r="C165" s="128" t="s">
        <v>68</v>
      </c>
      <c r="D165" s="129" t="s">
        <v>63</v>
      </c>
      <c r="E165" s="130">
        <v>150.0</v>
      </c>
      <c r="F165" s="130"/>
      <c r="G165" s="130"/>
      <c r="H165" s="131" t="str">
        <f t="shared" si="10"/>
        <v>Metalowe Denko uniwersalne 150</v>
      </c>
      <c r="I165" s="132">
        <v>24.86</v>
      </c>
      <c r="J165" s="133">
        <f t="shared" si="9"/>
        <v>30.5778</v>
      </c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hidden="1">
      <c r="A166" s="1"/>
      <c r="B166" s="73"/>
      <c r="C166" s="128" t="s">
        <v>33</v>
      </c>
      <c r="D166" s="129" t="s">
        <v>63</v>
      </c>
      <c r="E166" s="130">
        <v>125.0</v>
      </c>
      <c r="F166" s="130"/>
      <c r="G166" s="130"/>
      <c r="H166" s="131" t="str">
        <f t="shared" si="10"/>
        <v>Metalowe Złączka rynny 125</v>
      </c>
      <c r="I166" s="132">
        <v>21.13</v>
      </c>
      <c r="J166" s="133">
        <f t="shared" si="9"/>
        <v>25.9899</v>
      </c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hidden="1">
      <c r="A167" s="1"/>
      <c r="B167" s="73"/>
      <c r="C167" s="128" t="s">
        <v>33</v>
      </c>
      <c r="D167" s="129" t="s">
        <v>63</v>
      </c>
      <c r="E167" s="130">
        <v>150.0</v>
      </c>
      <c r="F167" s="130"/>
      <c r="G167" s="130"/>
      <c r="H167" s="131" t="str">
        <f t="shared" si="10"/>
        <v>Metalowe Złączka rynny 150</v>
      </c>
      <c r="I167" s="132">
        <v>22.45</v>
      </c>
      <c r="J167" s="133">
        <f t="shared" si="9"/>
        <v>27.6135</v>
      </c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hidden="1">
      <c r="A168" s="1"/>
      <c r="B168" s="73"/>
      <c r="C168" s="128" t="s">
        <v>36</v>
      </c>
      <c r="D168" s="129" t="s">
        <v>63</v>
      </c>
      <c r="E168" s="130">
        <v>125.0</v>
      </c>
      <c r="F168" s="130">
        <v>90.0</v>
      </c>
      <c r="G168" s="130"/>
      <c r="H168" s="131" t="str">
        <f t="shared" si="10"/>
        <v>Metalowe Lej spustowy 12590</v>
      </c>
      <c r="I168" s="132">
        <v>39.07</v>
      </c>
      <c r="J168" s="133">
        <f t="shared" si="9"/>
        <v>48.0561</v>
      </c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hidden="1">
      <c r="A169" s="1"/>
      <c r="B169" s="73"/>
      <c r="C169" s="128" t="s">
        <v>36</v>
      </c>
      <c r="D169" s="129" t="s">
        <v>63</v>
      </c>
      <c r="E169" s="130">
        <v>125.0</v>
      </c>
      <c r="F169" s="130">
        <v>100.0</v>
      </c>
      <c r="G169" s="130"/>
      <c r="H169" s="131" t="str">
        <f t="shared" si="10"/>
        <v>Metalowe Lej spustowy 125100</v>
      </c>
      <c r="I169" s="132">
        <v>49.98</v>
      </c>
      <c r="J169" s="133">
        <f t="shared" si="9"/>
        <v>61.4754</v>
      </c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hidden="1">
      <c r="A170" s="1"/>
      <c r="B170" s="73"/>
      <c r="C170" s="128" t="s">
        <v>36</v>
      </c>
      <c r="D170" s="129" t="s">
        <v>63</v>
      </c>
      <c r="E170" s="130">
        <v>150.0</v>
      </c>
      <c r="F170" s="130">
        <v>100.0</v>
      </c>
      <c r="G170" s="130"/>
      <c r="H170" s="131" t="str">
        <f t="shared" si="10"/>
        <v>Metalowe Lej spustowy 150100</v>
      </c>
      <c r="I170" s="132">
        <v>47.58</v>
      </c>
      <c r="J170" s="133">
        <f t="shared" si="9"/>
        <v>58.5234</v>
      </c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hidden="1">
      <c r="A171" s="1"/>
      <c r="B171" s="73"/>
      <c r="C171" s="128" t="s">
        <v>69</v>
      </c>
      <c r="D171" s="129" t="s">
        <v>63</v>
      </c>
      <c r="E171" s="130">
        <v>125.0</v>
      </c>
      <c r="F171" s="130"/>
      <c r="G171" s="130"/>
      <c r="H171" s="131" t="str">
        <f t="shared" si="10"/>
        <v>Metalowe Narożnik zew./wew.125</v>
      </c>
      <c r="I171" s="132">
        <v>85.45</v>
      </c>
      <c r="J171" s="133">
        <f t="shared" si="9"/>
        <v>105.1035</v>
      </c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hidden="1">
      <c r="A172" s="1"/>
      <c r="B172" s="73"/>
      <c r="C172" s="128" t="s">
        <v>70</v>
      </c>
      <c r="D172" s="129" t="s">
        <v>63</v>
      </c>
      <c r="E172" s="130">
        <v>125.0</v>
      </c>
      <c r="F172" s="130"/>
      <c r="G172" s="130"/>
      <c r="H172" s="131" t="str">
        <f t="shared" si="10"/>
        <v>Metalowe Narożnik zew./wew. dowolny kąt125</v>
      </c>
      <c r="I172" s="132">
        <v>140.31</v>
      </c>
      <c r="J172" s="133">
        <f t="shared" si="9"/>
        <v>172.5813</v>
      </c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hidden="1">
      <c r="A173" s="1"/>
      <c r="B173" s="73"/>
      <c r="C173" s="128" t="s">
        <v>69</v>
      </c>
      <c r="D173" s="129" t="s">
        <v>63</v>
      </c>
      <c r="E173" s="130">
        <v>150.0</v>
      </c>
      <c r="F173" s="130"/>
      <c r="G173" s="130"/>
      <c r="H173" s="131" t="str">
        <f t="shared" si="10"/>
        <v>Metalowe Narożnik zew./wew.150</v>
      </c>
      <c r="I173" s="132">
        <v>103.75</v>
      </c>
      <c r="J173" s="133">
        <f t="shared" si="9"/>
        <v>127.6125</v>
      </c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hidden="1">
      <c r="A174" s="1"/>
      <c r="B174" s="73"/>
      <c r="C174" s="128" t="s">
        <v>70</v>
      </c>
      <c r="D174" s="129" t="s">
        <v>63</v>
      </c>
      <c r="E174" s="130">
        <v>150.0</v>
      </c>
      <c r="F174" s="130"/>
      <c r="G174" s="130"/>
      <c r="H174" s="131" t="str">
        <f t="shared" si="10"/>
        <v>Metalowe Narożnik zew./wew. dowolny kąt150</v>
      </c>
      <c r="I174" s="132">
        <v>143.04</v>
      </c>
      <c r="J174" s="133">
        <f t="shared" si="9"/>
        <v>175.9392</v>
      </c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hidden="1">
      <c r="A175" s="1"/>
      <c r="B175" s="73"/>
      <c r="C175" s="128" t="s">
        <v>39</v>
      </c>
      <c r="D175" s="129" t="s">
        <v>63</v>
      </c>
      <c r="E175" s="130"/>
      <c r="F175" s="130">
        <v>90.0</v>
      </c>
      <c r="G175" s="130"/>
      <c r="H175" s="131" t="str">
        <f t="shared" si="10"/>
        <v>Metalowe Rura spustowa 3m 90</v>
      </c>
      <c r="I175" s="133">
        <f>36.2*3</f>
        <v>108.6</v>
      </c>
      <c r="J175" s="133">
        <f t="shared" si="9"/>
        <v>133.578</v>
      </c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hidden="1">
      <c r="A176" s="1"/>
      <c r="B176" s="73"/>
      <c r="C176" s="128" t="s">
        <v>39</v>
      </c>
      <c r="D176" s="129" t="s">
        <v>63</v>
      </c>
      <c r="E176" s="130"/>
      <c r="F176" s="130">
        <v>100.0</v>
      </c>
      <c r="G176" s="130"/>
      <c r="H176" s="131" t="str">
        <f t="shared" si="10"/>
        <v>Metalowe Rura spustowa 3m 100</v>
      </c>
      <c r="I176" s="133">
        <f>43.85*3</f>
        <v>131.55</v>
      </c>
      <c r="J176" s="133">
        <f t="shared" si="9"/>
        <v>161.8065</v>
      </c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hidden="1">
      <c r="A177" s="1"/>
      <c r="B177" s="73"/>
      <c r="C177" s="128" t="s">
        <v>38</v>
      </c>
      <c r="D177" s="129" t="s">
        <v>63</v>
      </c>
      <c r="E177" s="130"/>
      <c r="F177" s="130">
        <v>90.0</v>
      </c>
      <c r="G177" s="130"/>
      <c r="H177" s="131" t="str">
        <f t="shared" si="10"/>
        <v>Metalowe Rura spustowa 4m 90</v>
      </c>
      <c r="I177" s="133">
        <f>36.2*4</f>
        <v>144.8</v>
      </c>
      <c r="J177" s="133">
        <f t="shared" si="9"/>
        <v>178.104</v>
      </c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hidden="1">
      <c r="A178" s="1"/>
      <c r="B178" s="73"/>
      <c r="C178" s="128" t="s">
        <v>38</v>
      </c>
      <c r="D178" s="129" t="s">
        <v>63</v>
      </c>
      <c r="E178" s="130"/>
      <c r="F178" s="130">
        <v>100.0</v>
      </c>
      <c r="G178" s="130"/>
      <c r="H178" s="131" t="str">
        <f t="shared" si="10"/>
        <v>Metalowe Rura spustowa 4m 100</v>
      </c>
      <c r="I178" s="133">
        <f>43.85*4</f>
        <v>175.4</v>
      </c>
      <c r="J178" s="133">
        <f t="shared" si="9"/>
        <v>215.742</v>
      </c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hidden="1">
      <c r="A179" s="1"/>
      <c r="B179" s="73"/>
      <c r="C179" s="128" t="s">
        <v>71</v>
      </c>
      <c r="D179" s="129" t="s">
        <v>63</v>
      </c>
      <c r="E179" s="130"/>
      <c r="F179" s="130">
        <v>90.0</v>
      </c>
      <c r="G179" s="130"/>
      <c r="H179" s="131" t="str">
        <f t="shared" si="10"/>
        <v>Metalowe Złączka rury 90</v>
      </c>
      <c r="I179" s="132">
        <v>25.32</v>
      </c>
      <c r="J179" s="133">
        <f t="shared" si="9"/>
        <v>31.1436</v>
      </c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hidden="1">
      <c r="A180" s="1"/>
      <c r="B180" s="73"/>
      <c r="C180" s="128" t="s">
        <v>71</v>
      </c>
      <c r="D180" s="129" t="s">
        <v>63</v>
      </c>
      <c r="E180" s="130"/>
      <c r="F180" s="130">
        <v>100.0</v>
      </c>
      <c r="G180" s="130"/>
      <c r="H180" s="131" t="str">
        <f t="shared" si="10"/>
        <v>Metalowe Złączka rury 100</v>
      </c>
      <c r="I180" s="132">
        <v>29.64</v>
      </c>
      <c r="J180" s="133">
        <f t="shared" si="9"/>
        <v>36.4572</v>
      </c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hidden="1">
      <c r="A181" s="1"/>
      <c r="B181" s="73"/>
      <c r="C181" s="128" t="s">
        <v>40</v>
      </c>
      <c r="D181" s="129" t="s">
        <v>63</v>
      </c>
      <c r="E181" s="130"/>
      <c r="F181" s="130">
        <v>90.0</v>
      </c>
      <c r="G181" s="130"/>
      <c r="H181" s="131" t="str">
        <f t="shared" si="10"/>
        <v>Metalowe Kolanko 90</v>
      </c>
      <c r="I181" s="132">
        <v>35.27</v>
      </c>
      <c r="J181" s="133">
        <f t="shared" si="9"/>
        <v>43.3821</v>
      </c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hidden="1">
      <c r="A182" s="1"/>
      <c r="B182" s="73"/>
      <c r="C182" s="128" t="s">
        <v>40</v>
      </c>
      <c r="D182" s="129" t="s">
        <v>63</v>
      </c>
      <c r="E182" s="130"/>
      <c r="F182" s="130">
        <v>100.0</v>
      </c>
      <c r="G182" s="130"/>
      <c r="H182" s="131" t="str">
        <f t="shared" si="10"/>
        <v>Metalowe Kolanko 100</v>
      </c>
      <c r="I182" s="132">
        <v>42.69</v>
      </c>
      <c r="J182" s="133">
        <f t="shared" si="9"/>
        <v>52.5087</v>
      </c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hidden="1">
      <c r="A183" s="1"/>
      <c r="B183" s="73"/>
      <c r="C183" s="128" t="s">
        <v>41</v>
      </c>
      <c r="D183" s="129" t="s">
        <v>63</v>
      </c>
      <c r="E183" s="130"/>
      <c r="F183" s="130">
        <v>90.0</v>
      </c>
      <c r="G183" s="130"/>
      <c r="H183" s="131" t="str">
        <f t="shared" si="10"/>
        <v>Metalowe Obejma 90</v>
      </c>
      <c r="I183" s="132">
        <v>13.88</v>
      </c>
      <c r="J183" s="133">
        <f t="shared" si="9"/>
        <v>17.0724</v>
      </c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hidden="1">
      <c r="A184" s="1"/>
      <c r="B184" s="73"/>
      <c r="C184" s="128" t="s">
        <v>41</v>
      </c>
      <c r="D184" s="129" t="s">
        <v>63</v>
      </c>
      <c r="E184" s="130"/>
      <c r="F184" s="130">
        <v>100.0</v>
      </c>
      <c r="G184" s="130"/>
      <c r="H184" s="131" t="str">
        <f t="shared" si="10"/>
        <v>Metalowe Obejma 100</v>
      </c>
      <c r="I184" s="132">
        <v>14.8</v>
      </c>
      <c r="J184" s="133">
        <f t="shared" si="9"/>
        <v>18.204</v>
      </c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hidden="1">
      <c r="A185" s="1"/>
      <c r="B185" s="73"/>
      <c r="C185" s="128" t="s">
        <v>108</v>
      </c>
      <c r="D185" s="129" t="s">
        <v>63</v>
      </c>
      <c r="E185" s="130"/>
      <c r="F185" s="130">
        <v>90.0</v>
      </c>
      <c r="G185" s="130"/>
      <c r="H185" s="131" t="str">
        <f t="shared" si="10"/>
        <v>Metalowe Łapacz deszczówki 90</v>
      </c>
      <c r="I185" s="132">
        <v>183.33</v>
      </c>
      <c r="J185" s="133">
        <f t="shared" si="9"/>
        <v>225.4959</v>
      </c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hidden="1">
      <c r="A186" s="1"/>
      <c r="B186" s="73"/>
      <c r="C186" s="128" t="s">
        <v>108</v>
      </c>
      <c r="D186" s="129" t="s">
        <v>63</v>
      </c>
      <c r="E186" s="130"/>
      <c r="F186" s="130">
        <v>100.0</v>
      </c>
      <c r="G186" s="130"/>
      <c r="H186" s="131" t="str">
        <f t="shared" si="10"/>
        <v>Metalowe Łapacz deszczówki 100</v>
      </c>
      <c r="I186" s="132">
        <v>209.61</v>
      </c>
      <c r="J186" s="133">
        <f t="shared" si="9"/>
        <v>257.8203</v>
      </c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hidden="1">
      <c r="A187" s="1"/>
      <c r="B187" s="73"/>
      <c r="C187" s="128" t="s">
        <v>74</v>
      </c>
      <c r="D187" s="129" t="s">
        <v>63</v>
      </c>
      <c r="E187" s="130"/>
      <c r="F187" s="130">
        <v>90.0</v>
      </c>
      <c r="G187" s="130"/>
      <c r="H187" s="131" t="str">
        <f t="shared" si="10"/>
        <v>Metalowe Trójnik 90</v>
      </c>
      <c r="I187" s="132">
        <v>144.64</v>
      </c>
      <c r="J187" s="133">
        <f t="shared" si="9"/>
        <v>177.9072</v>
      </c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hidden="1">
      <c r="A188" s="1"/>
      <c r="B188" s="73"/>
      <c r="C188" s="128" t="s">
        <v>74</v>
      </c>
      <c r="D188" s="129" t="s">
        <v>63</v>
      </c>
      <c r="E188" s="130"/>
      <c r="F188" s="130">
        <v>100.0</v>
      </c>
      <c r="G188" s="130"/>
      <c r="H188" s="131" t="str">
        <f t="shared" si="10"/>
        <v>Metalowe Trójnik 100</v>
      </c>
      <c r="I188" s="143">
        <v>192.54</v>
      </c>
      <c r="J188" s="133">
        <f t="shared" si="9"/>
        <v>236.8242</v>
      </c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hidden="1">
      <c r="A189" s="1"/>
      <c r="B189" s="73"/>
      <c r="C189" s="128" t="s">
        <v>109</v>
      </c>
      <c r="D189" s="129" t="s">
        <v>63</v>
      </c>
      <c r="E189" s="130"/>
      <c r="F189" s="130"/>
      <c r="G189" s="130"/>
      <c r="H189" s="131" t="str">
        <f t="shared" si="10"/>
        <v>Metalowe Osadnik do rur spustowych</v>
      </c>
      <c r="I189" s="132">
        <v>48.35</v>
      </c>
      <c r="J189" s="133">
        <f t="shared" si="9"/>
        <v>59.4705</v>
      </c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hidden="1">
      <c r="A190" s="1"/>
      <c r="B190" s="73"/>
      <c r="C190" s="128" t="s">
        <v>110</v>
      </c>
      <c r="D190" s="129"/>
      <c r="E190" s="130"/>
      <c r="F190" s="130"/>
      <c r="G190" s="130"/>
      <c r="H190" s="131" t="str">
        <f t="shared" si="10"/>
        <v>Metalowe Śruba L-100 </v>
      </c>
      <c r="I190" s="132">
        <v>3.12</v>
      </c>
      <c r="J190" s="133">
        <f t="shared" si="9"/>
        <v>3.8376</v>
      </c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hidden="1">
      <c r="A191" s="1"/>
      <c r="B191" s="73"/>
      <c r="C191" s="144" t="s">
        <v>111</v>
      </c>
      <c r="D191" s="129"/>
      <c r="E191" s="130"/>
      <c r="F191" s="130"/>
      <c r="G191" s="130"/>
      <c r="H191" s="131" t="str">
        <f t="shared" si="10"/>
        <v>Metalowe Śruba L-140 </v>
      </c>
      <c r="I191" s="132">
        <v>3.51</v>
      </c>
      <c r="J191" s="133">
        <f t="shared" si="9"/>
        <v>4.3173</v>
      </c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hidden="1">
      <c r="A192" s="1"/>
      <c r="B192" s="73"/>
      <c r="C192" s="144" t="s">
        <v>112</v>
      </c>
      <c r="D192" s="129"/>
      <c r="E192" s="130"/>
      <c r="F192" s="130"/>
      <c r="G192" s="130"/>
      <c r="H192" s="131" t="str">
        <f t="shared" si="10"/>
        <v>Metalowe Śruba L-180 </v>
      </c>
      <c r="I192" s="132">
        <v>4.66</v>
      </c>
      <c r="J192" s="133">
        <f t="shared" si="9"/>
        <v>5.7318</v>
      </c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hidden="1">
      <c r="A193" s="1"/>
      <c r="B193" s="73"/>
      <c r="C193" s="144" t="s">
        <v>113</v>
      </c>
      <c r="D193" s="129"/>
      <c r="E193" s="130"/>
      <c r="F193" s="130"/>
      <c r="G193" s="130"/>
      <c r="H193" s="131" t="str">
        <f t="shared" si="10"/>
        <v>Metalowe Śruba L-220 </v>
      </c>
      <c r="I193" s="132">
        <v>4.83</v>
      </c>
      <c r="J193" s="133">
        <f t="shared" si="9"/>
        <v>5.9409</v>
      </c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hidden="1">
      <c r="A194" s="1"/>
      <c r="B194" s="73"/>
      <c r="C194" s="144" t="s">
        <v>114</v>
      </c>
      <c r="D194" s="129"/>
      <c r="E194" s="130"/>
      <c r="F194" s="130"/>
      <c r="G194" s="130"/>
      <c r="H194" s="131" t="str">
        <f t="shared" si="10"/>
        <v>Metalowe Śruba L-250 </v>
      </c>
      <c r="I194" s="132">
        <v>5.19</v>
      </c>
      <c r="J194" s="133">
        <f t="shared" si="9"/>
        <v>6.3837</v>
      </c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hidden="1">
      <c r="A195" s="1"/>
      <c r="B195" s="73"/>
      <c r="C195" s="145" t="s">
        <v>115</v>
      </c>
      <c r="D195" s="129"/>
      <c r="E195" s="130"/>
      <c r="F195" s="130"/>
      <c r="G195" s="130"/>
      <c r="H195" s="131" t="str">
        <f t="shared" si="10"/>
        <v>Metalowe Śruba L-300 </v>
      </c>
      <c r="I195" s="132">
        <v>5.89</v>
      </c>
      <c r="J195" s="133">
        <f t="shared" si="9"/>
        <v>7.2447</v>
      </c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hidden="1">
      <c r="A196" s="1"/>
      <c r="B196" s="73"/>
      <c r="C196" s="128" t="s">
        <v>46</v>
      </c>
      <c r="D196" s="129" t="s">
        <v>56</v>
      </c>
      <c r="E196" s="130"/>
      <c r="F196" s="130"/>
      <c r="G196" s="130"/>
      <c r="H196" s="131" t="str">
        <f t="shared" si="10"/>
        <v>Metalowe Wspornik aluminiowy </v>
      </c>
      <c r="I196" s="132">
        <v>5.38</v>
      </c>
      <c r="J196" s="133">
        <f t="shared" si="9"/>
        <v>6.6174</v>
      </c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hidden="1">
      <c r="A197" s="1"/>
      <c r="B197" s="73"/>
      <c r="C197" s="128" t="s">
        <v>45</v>
      </c>
      <c r="D197" s="129" t="s">
        <v>56</v>
      </c>
      <c r="E197" s="130"/>
      <c r="F197" s="130"/>
      <c r="G197" s="130"/>
      <c r="H197" s="131" t="str">
        <f t="shared" si="10"/>
        <v>Metalowe Stopka do obejm </v>
      </c>
      <c r="I197" s="132">
        <v>6.65</v>
      </c>
      <c r="J197" s="133">
        <f t="shared" si="9"/>
        <v>8.1795</v>
      </c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hidden="1">
      <c r="A198" s="1"/>
      <c r="B198" s="83"/>
      <c r="C198" s="136" t="s">
        <v>95</v>
      </c>
      <c r="D198" s="138"/>
      <c r="E198" s="139"/>
      <c r="F198" s="139"/>
      <c r="G198" s="139"/>
      <c r="H198" s="140" t="str">
        <f t="shared" si="10"/>
        <v>Metalowe Pasta poślizgowa </v>
      </c>
      <c r="I198" s="141">
        <v>18.77</v>
      </c>
      <c r="J198" s="142">
        <f t="shared" si="9"/>
        <v>23.0871</v>
      </c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hidden="1">
      <c r="A199" s="1"/>
      <c r="B199" s="127" t="s">
        <v>58</v>
      </c>
      <c r="C199" s="128" t="s">
        <v>32</v>
      </c>
      <c r="D199" s="129" t="s">
        <v>60</v>
      </c>
      <c r="E199" s="130">
        <v>75.0</v>
      </c>
      <c r="F199" s="130"/>
      <c r="G199" s="130"/>
      <c r="H199" s="131" t="str">
        <f t="shared" ref="H199:H268" si="11">$B$199&amp;C199&amp;E199&amp;F199&amp;G199</f>
        <v>PVC+ Rynna 3m 75</v>
      </c>
      <c r="I199" s="133">
        <f>13.02*3</f>
        <v>39.06</v>
      </c>
      <c r="J199" s="133">
        <f t="shared" si="9"/>
        <v>48.0438</v>
      </c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hidden="1">
      <c r="A200" s="1"/>
      <c r="B200" s="73"/>
      <c r="C200" s="128" t="s">
        <v>31</v>
      </c>
      <c r="D200" s="129" t="s">
        <v>60</v>
      </c>
      <c r="E200" s="130">
        <v>75.0</v>
      </c>
      <c r="F200" s="130"/>
      <c r="G200" s="130"/>
      <c r="H200" s="131" t="str">
        <f t="shared" si="11"/>
        <v>PVC+ Rynna 4m 75</v>
      </c>
      <c r="I200" s="133">
        <f>13.02*4</f>
        <v>52.08</v>
      </c>
      <c r="J200" s="133">
        <f t="shared" si="9"/>
        <v>64.0584</v>
      </c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hidden="1">
      <c r="A201" s="1"/>
      <c r="B201" s="73"/>
      <c r="C201" s="128" t="s">
        <v>32</v>
      </c>
      <c r="D201" s="129" t="s">
        <v>60</v>
      </c>
      <c r="E201" s="130">
        <v>100.0</v>
      </c>
      <c r="F201" s="130"/>
      <c r="G201" s="130"/>
      <c r="H201" s="131" t="str">
        <f t="shared" si="11"/>
        <v>PVC+ Rynna 3m 100</v>
      </c>
      <c r="I201" s="133">
        <f>17.46*3</f>
        <v>52.38</v>
      </c>
      <c r="J201" s="133">
        <f t="shared" si="9"/>
        <v>64.4274</v>
      </c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hidden="1">
      <c r="A202" s="1"/>
      <c r="B202" s="73"/>
      <c r="C202" s="128" t="s">
        <v>31</v>
      </c>
      <c r="D202" s="129" t="s">
        <v>60</v>
      </c>
      <c r="E202" s="130">
        <v>100.0</v>
      </c>
      <c r="F202" s="130"/>
      <c r="G202" s="130"/>
      <c r="H202" s="131" t="str">
        <f t="shared" si="11"/>
        <v>PVC+ Rynna 4m 100</v>
      </c>
      <c r="I202" s="133">
        <f>17.46*4</f>
        <v>69.84</v>
      </c>
      <c r="J202" s="133">
        <f t="shared" si="9"/>
        <v>85.9032</v>
      </c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hidden="1">
      <c r="A203" s="1"/>
      <c r="B203" s="73"/>
      <c r="C203" s="128" t="s">
        <v>32</v>
      </c>
      <c r="D203" s="129" t="s">
        <v>60</v>
      </c>
      <c r="E203" s="130">
        <v>125.0</v>
      </c>
      <c r="F203" s="130"/>
      <c r="G203" s="130"/>
      <c r="H203" s="131" t="str">
        <f t="shared" si="11"/>
        <v>PVC+ Rynna 3m 125</v>
      </c>
      <c r="I203" s="133">
        <f>21.86*3</f>
        <v>65.58</v>
      </c>
      <c r="J203" s="133">
        <f t="shared" si="9"/>
        <v>80.6634</v>
      </c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hidden="1">
      <c r="A204" s="1"/>
      <c r="B204" s="73"/>
      <c r="C204" s="128" t="s">
        <v>31</v>
      </c>
      <c r="D204" s="129" t="s">
        <v>60</v>
      </c>
      <c r="E204" s="130">
        <v>125.0</v>
      </c>
      <c r="F204" s="130"/>
      <c r="G204" s="130"/>
      <c r="H204" s="131" t="str">
        <f t="shared" si="11"/>
        <v>PVC+ Rynna 4m 125</v>
      </c>
      <c r="I204" s="133">
        <f>21.86*4</f>
        <v>87.44</v>
      </c>
      <c r="J204" s="133">
        <f t="shared" si="9"/>
        <v>107.5512</v>
      </c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hidden="1">
      <c r="A205" s="1"/>
      <c r="B205" s="73"/>
      <c r="C205" s="128" t="s">
        <v>34</v>
      </c>
      <c r="D205" s="129" t="s">
        <v>60</v>
      </c>
      <c r="E205" s="130">
        <v>75.0</v>
      </c>
      <c r="F205" s="130"/>
      <c r="G205" s="130"/>
      <c r="H205" s="131" t="str">
        <f t="shared" si="11"/>
        <v>PVC+ Rynhak 75</v>
      </c>
      <c r="I205" s="132">
        <v>7.54</v>
      </c>
      <c r="J205" s="133">
        <f t="shared" si="9"/>
        <v>9.2742</v>
      </c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hidden="1">
      <c r="A206" s="1"/>
      <c r="B206" s="73"/>
      <c r="C206" s="128" t="s">
        <v>34</v>
      </c>
      <c r="D206" s="129" t="s">
        <v>60</v>
      </c>
      <c r="E206" s="130">
        <v>100.0</v>
      </c>
      <c r="F206" s="130"/>
      <c r="G206" s="130"/>
      <c r="H206" s="131" t="str">
        <f t="shared" si="11"/>
        <v>PVC+ Rynhak 100</v>
      </c>
      <c r="I206" s="132">
        <v>8.7</v>
      </c>
      <c r="J206" s="133">
        <f t="shared" si="9"/>
        <v>10.701</v>
      </c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hidden="1">
      <c r="A207" s="1"/>
      <c r="B207" s="73"/>
      <c r="C207" s="128" t="s">
        <v>34</v>
      </c>
      <c r="D207" s="129" t="s">
        <v>60</v>
      </c>
      <c r="E207" s="130">
        <v>125.0</v>
      </c>
      <c r="F207" s="130"/>
      <c r="G207" s="130"/>
      <c r="H207" s="131" t="str">
        <f t="shared" si="11"/>
        <v>PVC+ Rynhak 125</v>
      </c>
      <c r="I207" s="132">
        <v>9.49</v>
      </c>
      <c r="J207" s="133">
        <f t="shared" si="9"/>
        <v>11.6727</v>
      </c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hidden="1">
      <c r="A208" s="1"/>
      <c r="B208" s="73"/>
      <c r="C208" s="128" t="s">
        <v>35</v>
      </c>
      <c r="D208" s="129" t="s">
        <v>60</v>
      </c>
      <c r="E208" s="130">
        <v>75.0</v>
      </c>
      <c r="F208" s="130"/>
      <c r="G208" s="130"/>
      <c r="H208" s="131" t="str">
        <f t="shared" si="11"/>
        <v>PVC+ Denko prawe/lewe75</v>
      </c>
      <c r="I208" s="132">
        <v>8.37</v>
      </c>
      <c r="J208" s="133">
        <f t="shared" si="9"/>
        <v>10.2951</v>
      </c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hidden="1">
      <c r="A209" s="1"/>
      <c r="B209" s="73"/>
      <c r="C209" s="128" t="s">
        <v>35</v>
      </c>
      <c r="D209" s="129" t="s">
        <v>60</v>
      </c>
      <c r="E209" s="130">
        <v>100.0</v>
      </c>
      <c r="F209" s="130"/>
      <c r="G209" s="130"/>
      <c r="H209" s="131" t="str">
        <f t="shared" si="11"/>
        <v>PVC+ Denko prawe/lewe100</v>
      </c>
      <c r="I209" s="132">
        <v>10.52</v>
      </c>
      <c r="J209" s="133">
        <f t="shared" si="9"/>
        <v>12.9396</v>
      </c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hidden="1">
      <c r="A210" s="1"/>
      <c r="B210" s="73"/>
      <c r="C210" s="128" t="s">
        <v>35</v>
      </c>
      <c r="D210" s="129" t="s">
        <v>60</v>
      </c>
      <c r="E210" s="130">
        <v>125.0</v>
      </c>
      <c r="F210" s="130"/>
      <c r="G210" s="130"/>
      <c r="H210" s="131" t="str">
        <f t="shared" si="11"/>
        <v>PVC+ Denko prawe/lewe125</v>
      </c>
      <c r="I210" s="132">
        <v>12.65</v>
      </c>
      <c r="J210" s="133">
        <f t="shared" si="9"/>
        <v>15.5595</v>
      </c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hidden="1">
      <c r="A211" s="1"/>
      <c r="B211" s="73"/>
      <c r="C211" s="128" t="s">
        <v>68</v>
      </c>
      <c r="D211" s="129" t="s">
        <v>60</v>
      </c>
      <c r="E211" s="130">
        <v>125.0</v>
      </c>
      <c r="F211" s="130"/>
      <c r="G211" s="130"/>
      <c r="H211" s="131" t="str">
        <f t="shared" si="11"/>
        <v>PVC+ Denko uniwersalne 125</v>
      </c>
      <c r="I211" s="132">
        <v>9.83</v>
      </c>
      <c r="J211" s="133">
        <f t="shared" si="9"/>
        <v>12.0909</v>
      </c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hidden="1">
      <c r="A212" s="1"/>
      <c r="B212" s="73"/>
      <c r="C212" s="128" t="s">
        <v>33</v>
      </c>
      <c r="D212" s="129" t="s">
        <v>60</v>
      </c>
      <c r="E212" s="130">
        <v>75.0</v>
      </c>
      <c r="F212" s="130"/>
      <c r="G212" s="130"/>
      <c r="H212" s="131" t="str">
        <f t="shared" si="11"/>
        <v>PVC+ Złączka rynny 75</v>
      </c>
      <c r="I212" s="132">
        <v>17.55</v>
      </c>
      <c r="J212" s="133">
        <f t="shared" si="9"/>
        <v>21.5865</v>
      </c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hidden="1">
      <c r="A213" s="1"/>
      <c r="B213" s="73"/>
      <c r="C213" s="128" t="s">
        <v>33</v>
      </c>
      <c r="D213" s="129" t="s">
        <v>60</v>
      </c>
      <c r="E213" s="130">
        <v>100.0</v>
      </c>
      <c r="F213" s="130"/>
      <c r="G213" s="130"/>
      <c r="H213" s="131" t="str">
        <f t="shared" si="11"/>
        <v>PVC+ Złączka rynny 100</v>
      </c>
      <c r="I213" s="132">
        <v>21.5</v>
      </c>
      <c r="J213" s="133">
        <f t="shared" si="9"/>
        <v>26.445</v>
      </c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hidden="1">
      <c r="A214" s="1"/>
      <c r="B214" s="73"/>
      <c r="C214" s="128" t="s">
        <v>33</v>
      </c>
      <c r="D214" s="129" t="s">
        <v>60</v>
      </c>
      <c r="E214" s="130">
        <v>125.0</v>
      </c>
      <c r="F214" s="130"/>
      <c r="G214" s="130"/>
      <c r="H214" s="131" t="str">
        <f t="shared" si="11"/>
        <v>PVC+ Złączka rynny 125</v>
      </c>
      <c r="I214" s="132">
        <v>25.42</v>
      </c>
      <c r="J214" s="133">
        <f t="shared" si="9"/>
        <v>31.2666</v>
      </c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hidden="1">
      <c r="A215" s="1"/>
      <c r="B215" s="73"/>
      <c r="C215" s="128" t="s">
        <v>36</v>
      </c>
      <c r="D215" s="129" t="s">
        <v>60</v>
      </c>
      <c r="E215" s="130">
        <v>75.0</v>
      </c>
      <c r="F215" s="130">
        <v>63.0</v>
      </c>
      <c r="G215" s="130"/>
      <c r="H215" s="131" t="str">
        <f t="shared" si="11"/>
        <v>PVC+ Lej spustowy 7563</v>
      </c>
      <c r="I215" s="132">
        <v>27.68</v>
      </c>
      <c r="J215" s="133">
        <f t="shared" si="9"/>
        <v>34.0464</v>
      </c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hidden="1">
      <c r="A216" s="1"/>
      <c r="B216" s="73"/>
      <c r="C216" s="128" t="s">
        <v>36</v>
      </c>
      <c r="D216" s="129" t="s">
        <v>60</v>
      </c>
      <c r="E216" s="130">
        <v>100.0</v>
      </c>
      <c r="F216" s="130">
        <v>63.0</v>
      </c>
      <c r="G216" s="130"/>
      <c r="H216" s="131" t="str">
        <f t="shared" si="11"/>
        <v>PVC+ Lej spustowy 10063</v>
      </c>
      <c r="I216" s="132">
        <v>29.21</v>
      </c>
      <c r="J216" s="133">
        <f t="shared" si="9"/>
        <v>35.9283</v>
      </c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hidden="1">
      <c r="A217" s="1"/>
      <c r="B217" s="73"/>
      <c r="C217" s="128" t="s">
        <v>36</v>
      </c>
      <c r="D217" s="129" t="s">
        <v>60</v>
      </c>
      <c r="E217" s="130">
        <v>100.0</v>
      </c>
      <c r="F217" s="130">
        <v>90.0</v>
      </c>
      <c r="G217" s="130"/>
      <c r="H217" s="131" t="str">
        <f t="shared" si="11"/>
        <v>PVC+ Lej spustowy 10090</v>
      </c>
      <c r="I217" s="132">
        <v>29.8</v>
      </c>
      <c r="J217" s="133">
        <f t="shared" si="9"/>
        <v>36.654</v>
      </c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hidden="1">
      <c r="A218" s="1"/>
      <c r="B218" s="73"/>
      <c r="C218" s="128" t="s">
        <v>36</v>
      </c>
      <c r="D218" s="129" t="s">
        <v>60</v>
      </c>
      <c r="E218" s="130">
        <v>125.0</v>
      </c>
      <c r="F218" s="130">
        <v>90.0</v>
      </c>
      <c r="G218" s="130"/>
      <c r="H218" s="131" t="str">
        <f t="shared" si="11"/>
        <v>PVC+ Lej spustowy 12590</v>
      </c>
      <c r="I218" s="132">
        <v>31.93</v>
      </c>
      <c r="J218" s="133">
        <f t="shared" si="9"/>
        <v>39.2739</v>
      </c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hidden="1">
      <c r="A219" s="1"/>
      <c r="B219" s="73"/>
      <c r="C219" s="128" t="s">
        <v>36</v>
      </c>
      <c r="D219" s="129" t="s">
        <v>60</v>
      </c>
      <c r="E219" s="130">
        <v>125.0</v>
      </c>
      <c r="F219" s="130">
        <v>110.0</v>
      </c>
      <c r="G219" s="130"/>
      <c r="H219" s="131" t="str">
        <f t="shared" si="11"/>
        <v>PVC+ Lej spustowy 125110</v>
      </c>
      <c r="I219" s="132">
        <v>31.93</v>
      </c>
      <c r="J219" s="133">
        <f t="shared" si="9"/>
        <v>39.2739</v>
      </c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hidden="1">
      <c r="A220" s="1"/>
      <c r="B220" s="73"/>
      <c r="C220" s="128" t="s">
        <v>69</v>
      </c>
      <c r="D220" s="129" t="s">
        <v>60</v>
      </c>
      <c r="E220" s="130">
        <v>75.0</v>
      </c>
      <c r="F220" s="130"/>
      <c r="G220" s="130"/>
      <c r="H220" s="131" t="str">
        <f t="shared" si="11"/>
        <v>PVC+ Narożnik zew./wew.75</v>
      </c>
      <c r="I220" s="132">
        <v>27.68</v>
      </c>
      <c r="J220" s="133">
        <f t="shared" si="9"/>
        <v>34.0464</v>
      </c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hidden="1">
      <c r="A221" s="1"/>
      <c r="B221" s="73"/>
      <c r="C221" s="128" t="s">
        <v>69</v>
      </c>
      <c r="D221" s="129" t="s">
        <v>60</v>
      </c>
      <c r="E221" s="130">
        <v>100.0</v>
      </c>
      <c r="F221" s="130"/>
      <c r="G221" s="130"/>
      <c r="H221" s="131" t="str">
        <f t="shared" si="11"/>
        <v>PVC+ Narożnik zew./wew.100</v>
      </c>
      <c r="I221" s="132">
        <v>29.8</v>
      </c>
      <c r="J221" s="133">
        <f t="shared" si="9"/>
        <v>36.654</v>
      </c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hidden="1">
      <c r="A222" s="1"/>
      <c r="B222" s="73"/>
      <c r="C222" s="128" t="s">
        <v>69</v>
      </c>
      <c r="D222" s="129" t="s">
        <v>60</v>
      </c>
      <c r="E222" s="130">
        <v>125.0</v>
      </c>
      <c r="F222" s="130"/>
      <c r="G222" s="130"/>
      <c r="H222" s="131" t="str">
        <f t="shared" si="11"/>
        <v>PVC+ Narożnik zew./wew.125</v>
      </c>
      <c r="I222" s="132">
        <v>31.93</v>
      </c>
      <c r="J222" s="133">
        <f t="shared" si="9"/>
        <v>39.2739</v>
      </c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hidden="1">
      <c r="A223" s="1"/>
      <c r="B223" s="73"/>
      <c r="C223" s="128" t="s">
        <v>70</v>
      </c>
      <c r="D223" s="129" t="s">
        <v>60</v>
      </c>
      <c r="E223" s="130">
        <v>75.0</v>
      </c>
      <c r="F223" s="130"/>
      <c r="G223" s="130"/>
      <c r="H223" s="131" t="str">
        <f t="shared" si="11"/>
        <v>PVC+ Narożnik zew./wew. dowolny kąt75</v>
      </c>
      <c r="I223" s="132">
        <v>106.19</v>
      </c>
      <c r="J223" s="133">
        <f t="shared" si="9"/>
        <v>130.6137</v>
      </c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hidden="1">
      <c r="A224" s="1"/>
      <c r="B224" s="73"/>
      <c r="C224" s="128" t="s">
        <v>70</v>
      </c>
      <c r="D224" s="129" t="s">
        <v>60</v>
      </c>
      <c r="E224" s="130">
        <v>100.0</v>
      </c>
      <c r="F224" s="130"/>
      <c r="G224" s="130"/>
      <c r="H224" s="131" t="str">
        <f t="shared" si="11"/>
        <v>PVC+ Narożnik zew./wew. dowolny kąt100</v>
      </c>
      <c r="I224" s="132">
        <v>111.13</v>
      </c>
      <c r="J224" s="133">
        <f t="shared" si="9"/>
        <v>136.6899</v>
      </c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hidden="1">
      <c r="A225" s="1"/>
      <c r="B225" s="73"/>
      <c r="C225" s="128" t="s">
        <v>70</v>
      </c>
      <c r="D225" s="129" t="s">
        <v>60</v>
      </c>
      <c r="E225" s="130">
        <v>125.0</v>
      </c>
      <c r="F225" s="130"/>
      <c r="G225" s="130"/>
      <c r="H225" s="131" t="str">
        <f t="shared" si="11"/>
        <v>PVC+ Narożnik zew./wew. dowolny kąt125</v>
      </c>
      <c r="I225" s="132">
        <v>114.83</v>
      </c>
      <c r="J225" s="133">
        <f t="shared" si="9"/>
        <v>141.2409</v>
      </c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hidden="1">
      <c r="A226" s="1"/>
      <c r="B226" s="73"/>
      <c r="C226" s="128" t="s">
        <v>39</v>
      </c>
      <c r="D226" s="129" t="s">
        <v>60</v>
      </c>
      <c r="E226" s="130"/>
      <c r="F226" s="130">
        <v>63.0</v>
      </c>
      <c r="G226" s="130"/>
      <c r="H226" s="131" t="str">
        <f t="shared" si="11"/>
        <v>PVC+ Rura spustowa 3m 63</v>
      </c>
      <c r="I226" s="133">
        <f>19.66*3</f>
        <v>58.98</v>
      </c>
      <c r="J226" s="133">
        <f t="shared" si="9"/>
        <v>72.5454</v>
      </c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hidden="1">
      <c r="A227" s="1"/>
      <c r="B227" s="73"/>
      <c r="C227" s="128" t="s">
        <v>39</v>
      </c>
      <c r="D227" s="129" t="s">
        <v>60</v>
      </c>
      <c r="E227" s="130"/>
      <c r="F227" s="130">
        <v>90.0</v>
      </c>
      <c r="G227" s="130"/>
      <c r="H227" s="131" t="str">
        <f t="shared" si="11"/>
        <v>PVC+ Rura spustowa 3m 90</v>
      </c>
      <c r="I227" s="133">
        <f>26.28*3</f>
        <v>78.84</v>
      </c>
      <c r="J227" s="133">
        <f t="shared" si="9"/>
        <v>96.9732</v>
      </c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hidden="1">
      <c r="A228" s="1"/>
      <c r="B228" s="73"/>
      <c r="C228" s="128" t="s">
        <v>39</v>
      </c>
      <c r="D228" s="129" t="s">
        <v>60</v>
      </c>
      <c r="E228" s="130"/>
      <c r="F228" s="130">
        <v>110.0</v>
      </c>
      <c r="G228" s="130"/>
      <c r="H228" s="131" t="str">
        <f t="shared" si="11"/>
        <v>PVC+ Rura spustowa 3m 110</v>
      </c>
      <c r="I228" s="133">
        <f>29.22*3</f>
        <v>87.66</v>
      </c>
      <c r="J228" s="133">
        <f t="shared" si="9"/>
        <v>107.8218</v>
      </c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hidden="1">
      <c r="A229" s="1"/>
      <c r="B229" s="73"/>
      <c r="C229" s="128" t="s">
        <v>38</v>
      </c>
      <c r="D229" s="129" t="s">
        <v>60</v>
      </c>
      <c r="E229" s="130"/>
      <c r="F229" s="130">
        <v>63.0</v>
      </c>
      <c r="G229" s="130"/>
      <c r="H229" s="131" t="str">
        <f t="shared" si="11"/>
        <v>PVC+ Rura spustowa 4m 63</v>
      </c>
      <c r="I229" s="133">
        <f>19.66*4</f>
        <v>78.64</v>
      </c>
      <c r="J229" s="133">
        <f t="shared" si="9"/>
        <v>96.7272</v>
      </c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hidden="1">
      <c r="A230" s="1"/>
      <c r="B230" s="73"/>
      <c r="C230" s="128" t="s">
        <v>38</v>
      </c>
      <c r="D230" s="129" t="s">
        <v>60</v>
      </c>
      <c r="E230" s="130"/>
      <c r="F230" s="130">
        <v>90.0</v>
      </c>
      <c r="G230" s="130"/>
      <c r="H230" s="131" t="str">
        <f t="shared" si="11"/>
        <v>PVC+ Rura spustowa 4m 90</v>
      </c>
      <c r="I230" s="133">
        <f>26.28*4</f>
        <v>105.12</v>
      </c>
      <c r="J230" s="133">
        <f t="shared" si="9"/>
        <v>129.2976</v>
      </c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hidden="1">
      <c r="A231" s="1"/>
      <c r="B231" s="73"/>
      <c r="C231" s="128" t="s">
        <v>38</v>
      </c>
      <c r="D231" s="129" t="s">
        <v>60</v>
      </c>
      <c r="E231" s="130"/>
      <c r="F231" s="130">
        <v>110.0</v>
      </c>
      <c r="G231" s="130"/>
      <c r="H231" s="131" t="str">
        <f t="shared" si="11"/>
        <v>PVC+ Rura spustowa 4m 110</v>
      </c>
      <c r="I231" s="133">
        <f>29.22*4</f>
        <v>116.88</v>
      </c>
      <c r="J231" s="133">
        <f t="shared" si="9"/>
        <v>143.7624</v>
      </c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hidden="1">
      <c r="A232" s="1"/>
      <c r="B232" s="73"/>
      <c r="C232" s="128" t="s">
        <v>71</v>
      </c>
      <c r="D232" s="129" t="s">
        <v>60</v>
      </c>
      <c r="E232" s="130"/>
      <c r="F232" s="130">
        <v>63.0</v>
      </c>
      <c r="G232" s="130"/>
      <c r="H232" s="131" t="str">
        <f t="shared" si="11"/>
        <v>PVC+ Złączka rury 63</v>
      </c>
      <c r="I232" s="132">
        <v>14.0</v>
      </c>
      <c r="J232" s="133">
        <f t="shared" si="9"/>
        <v>17.22</v>
      </c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hidden="1">
      <c r="A233" s="1"/>
      <c r="B233" s="73"/>
      <c r="C233" s="128" t="s">
        <v>71</v>
      </c>
      <c r="D233" s="129" t="s">
        <v>60</v>
      </c>
      <c r="E233" s="130"/>
      <c r="F233" s="130">
        <v>90.0</v>
      </c>
      <c r="G233" s="130"/>
      <c r="H233" s="131" t="str">
        <f t="shared" si="11"/>
        <v>PVC+ Złączka rury 90</v>
      </c>
      <c r="I233" s="132">
        <v>18.04</v>
      </c>
      <c r="J233" s="133">
        <f t="shared" si="9"/>
        <v>22.1892</v>
      </c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hidden="1">
      <c r="A234" s="1"/>
      <c r="B234" s="73"/>
      <c r="C234" s="128" t="s">
        <v>71</v>
      </c>
      <c r="D234" s="129" t="s">
        <v>60</v>
      </c>
      <c r="E234" s="130"/>
      <c r="F234" s="130">
        <v>110.0</v>
      </c>
      <c r="G234" s="130"/>
      <c r="H234" s="131" t="str">
        <f t="shared" si="11"/>
        <v>PVC+ Złączka rury 110</v>
      </c>
      <c r="I234" s="132">
        <v>21.29</v>
      </c>
      <c r="J234" s="133">
        <f t="shared" si="9"/>
        <v>26.1867</v>
      </c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hidden="1">
      <c r="A235" s="1"/>
      <c r="B235" s="73"/>
      <c r="C235" s="128" t="s">
        <v>40</v>
      </c>
      <c r="D235" s="129" t="s">
        <v>60</v>
      </c>
      <c r="E235" s="130"/>
      <c r="F235" s="130">
        <v>63.0</v>
      </c>
      <c r="G235" s="130"/>
      <c r="H235" s="131" t="str">
        <f t="shared" si="11"/>
        <v>PVC+ Kolanko 63</v>
      </c>
      <c r="I235" s="132">
        <v>18.04</v>
      </c>
      <c r="J235" s="133">
        <f t="shared" si="9"/>
        <v>22.1892</v>
      </c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hidden="1">
      <c r="A236" s="1"/>
      <c r="B236" s="73"/>
      <c r="C236" s="128" t="s">
        <v>40</v>
      </c>
      <c r="D236" s="129" t="s">
        <v>60</v>
      </c>
      <c r="E236" s="130"/>
      <c r="F236" s="130">
        <v>90.0</v>
      </c>
      <c r="G236" s="130"/>
      <c r="H236" s="131" t="str">
        <f t="shared" si="11"/>
        <v>PVC+ Kolanko 90</v>
      </c>
      <c r="I236" s="132">
        <v>22.11</v>
      </c>
      <c r="J236" s="133">
        <f t="shared" si="9"/>
        <v>27.1953</v>
      </c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hidden="1">
      <c r="A237" s="1"/>
      <c r="B237" s="73"/>
      <c r="C237" s="128" t="s">
        <v>40</v>
      </c>
      <c r="D237" s="129" t="s">
        <v>60</v>
      </c>
      <c r="E237" s="130"/>
      <c r="F237" s="130">
        <v>110.0</v>
      </c>
      <c r="G237" s="130"/>
      <c r="H237" s="131" t="str">
        <f t="shared" si="11"/>
        <v>PVC+ Kolanko 110</v>
      </c>
      <c r="I237" s="132">
        <v>25.82</v>
      </c>
      <c r="J237" s="133">
        <f t="shared" si="9"/>
        <v>31.7586</v>
      </c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hidden="1">
      <c r="A238" s="1"/>
      <c r="B238" s="73"/>
      <c r="C238" s="128" t="s">
        <v>41</v>
      </c>
      <c r="D238" s="129" t="s">
        <v>60</v>
      </c>
      <c r="E238" s="130"/>
      <c r="F238" s="130">
        <v>63.0</v>
      </c>
      <c r="G238" s="130"/>
      <c r="H238" s="131" t="str">
        <f t="shared" si="11"/>
        <v>PVC+ Obejma 63</v>
      </c>
      <c r="I238" s="132">
        <v>7.91</v>
      </c>
      <c r="J238" s="133">
        <f t="shared" si="9"/>
        <v>9.7293</v>
      </c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hidden="1">
      <c r="A239" s="1"/>
      <c r="B239" s="73"/>
      <c r="C239" s="128" t="s">
        <v>41</v>
      </c>
      <c r="D239" s="129" t="s">
        <v>60</v>
      </c>
      <c r="E239" s="130"/>
      <c r="F239" s="130">
        <v>90.0</v>
      </c>
      <c r="G239" s="130"/>
      <c r="H239" s="131" t="str">
        <f t="shared" si="11"/>
        <v>PVC+ Obejma 90</v>
      </c>
      <c r="I239" s="132">
        <v>9.95</v>
      </c>
      <c r="J239" s="133">
        <f t="shared" si="9"/>
        <v>12.2385</v>
      </c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hidden="1">
      <c r="A240" s="1"/>
      <c r="B240" s="73"/>
      <c r="C240" s="128" t="s">
        <v>41</v>
      </c>
      <c r="D240" s="129" t="s">
        <v>60</v>
      </c>
      <c r="E240" s="130"/>
      <c r="F240" s="130">
        <v>110.0</v>
      </c>
      <c r="G240" s="130"/>
      <c r="H240" s="131" t="str">
        <f t="shared" si="11"/>
        <v>PVC+ Obejma 110</v>
      </c>
      <c r="I240" s="132">
        <v>11.6</v>
      </c>
      <c r="J240" s="133">
        <f t="shared" si="9"/>
        <v>14.268</v>
      </c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hidden="1">
      <c r="A241" s="1"/>
      <c r="B241" s="73"/>
      <c r="C241" s="128" t="s">
        <v>73</v>
      </c>
      <c r="D241" s="129" t="s">
        <v>60</v>
      </c>
      <c r="E241" s="130"/>
      <c r="F241" s="130">
        <v>110.0</v>
      </c>
      <c r="G241" s="130"/>
      <c r="H241" s="131" t="str">
        <f t="shared" si="11"/>
        <v>PVC+ Rewizja 110</v>
      </c>
      <c r="I241" s="132">
        <v>54.76</v>
      </c>
      <c r="J241" s="133">
        <f t="shared" si="9"/>
        <v>67.3548</v>
      </c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hidden="1">
      <c r="A242" s="1"/>
      <c r="B242" s="73"/>
      <c r="C242" s="128" t="s">
        <v>85</v>
      </c>
      <c r="D242" s="129" t="s">
        <v>60</v>
      </c>
      <c r="E242" s="130"/>
      <c r="F242" s="130"/>
      <c r="G242" s="130"/>
      <c r="H242" s="131" t="str">
        <f t="shared" si="11"/>
        <v>PVC+ Wylewka rewizji </v>
      </c>
      <c r="I242" s="132">
        <v>9.45</v>
      </c>
      <c r="J242" s="133">
        <f t="shared" si="9"/>
        <v>11.6235</v>
      </c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hidden="1">
      <c r="A243" s="1"/>
      <c r="B243" s="73"/>
      <c r="C243" s="128" t="s">
        <v>87</v>
      </c>
      <c r="D243" s="129" t="s">
        <v>60</v>
      </c>
      <c r="E243" s="130"/>
      <c r="F243" s="130"/>
      <c r="G243" s="130"/>
      <c r="H243" s="131" t="str">
        <f t="shared" si="11"/>
        <v>PVC+ Sitko rewizji </v>
      </c>
      <c r="I243" s="132">
        <v>3.66</v>
      </c>
      <c r="J243" s="133">
        <f t="shared" si="9"/>
        <v>4.5018</v>
      </c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hidden="1">
      <c r="A244" s="1"/>
      <c r="B244" s="73"/>
      <c r="C244" s="128" t="s">
        <v>89</v>
      </c>
      <c r="D244" s="129" t="s">
        <v>60</v>
      </c>
      <c r="E244" s="130"/>
      <c r="F244" s="130"/>
      <c r="G244" s="130"/>
      <c r="H244" s="131" t="str">
        <f t="shared" si="11"/>
        <v>PVC+ Nakrętka rewizji </v>
      </c>
      <c r="I244" s="132">
        <v>13.37</v>
      </c>
      <c r="J244" s="133">
        <f t="shared" si="9"/>
        <v>16.4451</v>
      </c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hidden="1">
      <c r="A245" s="1"/>
      <c r="B245" s="73"/>
      <c r="C245" s="128" t="s">
        <v>74</v>
      </c>
      <c r="D245" s="129" t="s">
        <v>60</v>
      </c>
      <c r="E245" s="130"/>
      <c r="F245" s="130">
        <v>90.0</v>
      </c>
      <c r="G245" s="130"/>
      <c r="H245" s="131" t="str">
        <f t="shared" si="11"/>
        <v>PVC+ Trójnik 90</v>
      </c>
      <c r="I245" s="132">
        <v>36.29</v>
      </c>
      <c r="J245" s="133">
        <f t="shared" si="9"/>
        <v>44.6367</v>
      </c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hidden="1">
      <c r="A246" s="1"/>
      <c r="B246" s="73"/>
      <c r="C246" s="128" t="s">
        <v>74</v>
      </c>
      <c r="D246" s="129" t="s">
        <v>60</v>
      </c>
      <c r="E246" s="130"/>
      <c r="F246" s="130">
        <v>110.0</v>
      </c>
      <c r="G246" s="130" t="s">
        <v>96</v>
      </c>
      <c r="H246" s="131" t="str">
        <f t="shared" si="11"/>
        <v>PVC+ Trójnik 110/63 </v>
      </c>
      <c r="I246" s="132">
        <v>38.15</v>
      </c>
      <c r="J246" s="133">
        <f t="shared" si="9"/>
        <v>46.9245</v>
      </c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hidden="1">
      <c r="A247" s="1"/>
      <c r="B247" s="73"/>
      <c r="C247" s="128" t="s">
        <v>74</v>
      </c>
      <c r="D247" s="129" t="s">
        <v>60</v>
      </c>
      <c r="E247" s="130"/>
      <c r="F247" s="130">
        <v>110.0</v>
      </c>
      <c r="G247" s="130"/>
      <c r="H247" s="131" t="str">
        <f t="shared" si="11"/>
        <v>PVC+ Trójnik 110</v>
      </c>
      <c r="I247" s="132">
        <v>43.6</v>
      </c>
      <c r="J247" s="133">
        <f t="shared" si="9"/>
        <v>53.628</v>
      </c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hidden="1">
      <c r="A248" s="1"/>
      <c r="B248" s="73"/>
      <c r="C248" s="128" t="s">
        <v>74</v>
      </c>
      <c r="D248" s="129" t="s">
        <v>60</v>
      </c>
      <c r="E248" s="130"/>
      <c r="F248" s="130">
        <v>63.0</v>
      </c>
      <c r="G248" s="130"/>
      <c r="H248" s="131" t="str">
        <f t="shared" si="11"/>
        <v>PVC+ Trójnik 63</v>
      </c>
      <c r="I248" s="132">
        <v>116.79</v>
      </c>
      <c r="J248" s="133">
        <f t="shared" si="9"/>
        <v>143.6517</v>
      </c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hidden="1">
      <c r="A249" s="1"/>
      <c r="B249" s="73"/>
      <c r="C249" s="128" t="s">
        <v>84</v>
      </c>
      <c r="D249" s="129" t="s">
        <v>60</v>
      </c>
      <c r="E249" s="130"/>
      <c r="F249" s="130"/>
      <c r="G249" s="130"/>
      <c r="H249" s="131" t="str">
        <f t="shared" si="11"/>
        <v>PVC+ Osadnik do rur spustowych </v>
      </c>
      <c r="I249" s="132">
        <v>48.35</v>
      </c>
      <c r="J249" s="133">
        <f t="shared" si="9"/>
        <v>59.4705</v>
      </c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hidden="1">
      <c r="A250" s="1"/>
      <c r="B250" s="73"/>
      <c r="C250" s="128" t="s">
        <v>97</v>
      </c>
      <c r="D250" s="129" t="s">
        <v>60</v>
      </c>
      <c r="E250" s="130"/>
      <c r="F250" s="130">
        <v>110.0</v>
      </c>
      <c r="G250" s="130" t="s">
        <v>96</v>
      </c>
      <c r="H250" s="131" t="str">
        <f t="shared" si="11"/>
        <v>PVC+ Redukcja 110/63 </v>
      </c>
      <c r="I250" s="132">
        <v>20.81</v>
      </c>
      <c r="J250" s="133">
        <f t="shared" si="9"/>
        <v>25.5963</v>
      </c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hidden="1">
      <c r="A251" s="1"/>
      <c r="B251" s="73"/>
      <c r="C251" s="128" t="s">
        <v>97</v>
      </c>
      <c r="D251" s="129" t="s">
        <v>60</v>
      </c>
      <c r="E251" s="130"/>
      <c r="F251" s="130">
        <v>110.0</v>
      </c>
      <c r="G251" s="130" t="s">
        <v>98</v>
      </c>
      <c r="H251" s="131" t="str">
        <f t="shared" si="11"/>
        <v>PVC+ Redukcja 110/90 </v>
      </c>
      <c r="I251" s="132">
        <v>82.61</v>
      </c>
      <c r="J251" s="133">
        <f t="shared" si="9"/>
        <v>101.6103</v>
      </c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hidden="1">
      <c r="A252" s="1"/>
      <c r="B252" s="73"/>
      <c r="C252" s="128" t="s">
        <v>99</v>
      </c>
      <c r="D252" s="129" t="s">
        <v>60</v>
      </c>
      <c r="E252" s="130"/>
      <c r="F252" s="130">
        <v>63.0</v>
      </c>
      <c r="G252" s="130" t="s">
        <v>98</v>
      </c>
      <c r="H252" s="131" t="str">
        <f t="shared" si="11"/>
        <v>PVC+ Redukcja odwrotna 63/90 </v>
      </c>
      <c r="I252" s="132">
        <v>18.04</v>
      </c>
      <c r="J252" s="133">
        <f t="shared" si="9"/>
        <v>22.1892</v>
      </c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hidden="1">
      <c r="A253" s="1"/>
      <c r="B253" s="73"/>
      <c r="C253" s="128" t="s">
        <v>91</v>
      </c>
      <c r="D253" s="129"/>
      <c r="E253" s="130"/>
      <c r="F253" s="130">
        <v>75.0</v>
      </c>
      <c r="G253" s="130"/>
      <c r="H253" s="131" t="str">
        <f t="shared" si="11"/>
        <v>PVC+ Uszczelka zapasowa 75</v>
      </c>
      <c r="I253" s="132">
        <v>0.9</v>
      </c>
      <c r="J253" s="133">
        <f t="shared" si="9"/>
        <v>1.107</v>
      </c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hidden="1">
      <c r="A254" s="1"/>
      <c r="B254" s="73"/>
      <c r="C254" s="128" t="s">
        <v>91</v>
      </c>
      <c r="D254" s="129"/>
      <c r="E254" s="130"/>
      <c r="F254" s="130">
        <v>100.0</v>
      </c>
      <c r="G254" s="130"/>
      <c r="H254" s="131" t="str">
        <f t="shared" si="11"/>
        <v>PVC+ Uszczelka zapasowa 100</v>
      </c>
      <c r="I254" s="132">
        <v>1.01</v>
      </c>
      <c r="J254" s="133">
        <f t="shared" si="9"/>
        <v>1.2423</v>
      </c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hidden="1">
      <c r="A255" s="1"/>
      <c r="B255" s="73"/>
      <c r="C255" s="128" t="s">
        <v>91</v>
      </c>
      <c r="D255" s="129"/>
      <c r="E255" s="130"/>
      <c r="F255" s="130">
        <v>125.0</v>
      </c>
      <c r="G255" s="130"/>
      <c r="H255" s="131" t="str">
        <f t="shared" si="11"/>
        <v>PVC+ Uszczelka zapasowa 125</v>
      </c>
      <c r="I255" s="132">
        <v>1.01</v>
      </c>
      <c r="J255" s="133">
        <f t="shared" si="9"/>
        <v>1.2423</v>
      </c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hidden="1">
      <c r="A256" s="1"/>
      <c r="B256" s="73"/>
      <c r="C256" s="128" t="s">
        <v>91</v>
      </c>
      <c r="D256" s="129"/>
      <c r="E256" s="130"/>
      <c r="F256" s="130">
        <v>150.0</v>
      </c>
      <c r="G256" s="130"/>
      <c r="H256" s="131" t="str">
        <f t="shared" si="11"/>
        <v>PVC+ Uszczelka zapasowa 150</v>
      </c>
      <c r="I256" s="132">
        <v>1.12</v>
      </c>
      <c r="J256" s="133">
        <f t="shared" si="9"/>
        <v>1.3776</v>
      </c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hidden="1">
      <c r="A257" s="1"/>
      <c r="B257" s="73"/>
      <c r="C257" s="128" t="s">
        <v>93</v>
      </c>
      <c r="D257" s="129"/>
      <c r="E257" s="130"/>
      <c r="F257" s="130"/>
      <c r="G257" s="130"/>
      <c r="H257" s="131" t="str">
        <f t="shared" si="11"/>
        <v>PVC+ Przejście adaptacyjne 90/110 </v>
      </c>
      <c r="I257" s="132">
        <v>16.79</v>
      </c>
      <c r="J257" s="133">
        <f t="shared" si="9"/>
        <v>20.6517</v>
      </c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hidden="1">
      <c r="A258" s="1"/>
      <c r="B258" s="73"/>
      <c r="C258" s="128" t="s">
        <v>100</v>
      </c>
      <c r="D258" s="129"/>
      <c r="E258" s="130"/>
      <c r="F258" s="130"/>
      <c r="G258" s="130"/>
      <c r="H258" s="131" t="str">
        <f t="shared" si="11"/>
        <v>PVC+ Hak obejmy L-120 </v>
      </c>
      <c r="I258" s="132">
        <v>7.27</v>
      </c>
      <c r="J258" s="133">
        <f t="shared" si="9"/>
        <v>8.9421</v>
      </c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hidden="1">
      <c r="A259" s="1"/>
      <c r="B259" s="73"/>
      <c r="C259" s="128" t="s">
        <v>101</v>
      </c>
      <c r="D259" s="129"/>
      <c r="E259" s="130"/>
      <c r="F259" s="130"/>
      <c r="G259" s="130"/>
      <c r="H259" s="131" t="str">
        <f t="shared" si="11"/>
        <v>PVC+ Hak obejmy L-140 </v>
      </c>
      <c r="I259" s="132">
        <v>7.71</v>
      </c>
      <c r="J259" s="133">
        <f t="shared" si="9"/>
        <v>9.4833</v>
      </c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hidden="1">
      <c r="A260" s="1"/>
      <c r="B260" s="73"/>
      <c r="C260" s="128" t="s">
        <v>102</v>
      </c>
      <c r="D260" s="129"/>
      <c r="E260" s="130"/>
      <c r="F260" s="130"/>
      <c r="G260" s="130"/>
      <c r="H260" s="131" t="str">
        <f t="shared" si="11"/>
        <v>PVC+ Hak obejmy L-160 </v>
      </c>
      <c r="I260" s="132">
        <v>8.11</v>
      </c>
      <c r="J260" s="133">
        <f t="shared" si="9"/>
        <v>9.9753</v>
      </c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hidden="1">
      <c r="A261" s="1"/>
      <c r="B261" s="73"/>
      <c r="C261" s="128" t="s">
        <v>103</v>
      </c>
      <c r="D261" s="129"/>
      <c r="E261" s="130"/>
      <c r="F261" s="130"/>
      <c r="G261" s="130"/>
      <c r="H261" s="131" t="str">
        <f t="shared" si="11"/>
        <v>PVC+ Hak obejmy L-180 </v>
      </c>
      <c r="I261" s="132">
        <v>8.34</v>
      </c>
      <c r="J261" s="133">
        <f t="shared" si="9"/>
        <v>10.2582</v>
      </c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hidden="1">
      <c r="A262" s="1"/>
      <c r="B262" s="73"/>
      <c r="C262" s="128" t="s">
        <v>104</v>
      </c>
      <c r="D262" s="129"/>
      <c r="E262" s="130"/>
      <c r="F262" s="130"/>
      <c r="G262" s="130"/>
      <c r="H262" s="131" t="str">
        <f t="shared" si="11"/>
        <v>PVC+ Hak obejmy L-200 </v>
      </c>
      <c r="I262" s="132">
        <v>8.84</v>
      </c>
      <c r="J262" s="133">
        <f t="shared" si="9"/>
        <v>10.8732</v>
      </c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hidden="1">
      <c r="A263" s="1"/>
      <c r="B263" s="73"/>
      <c r="C263" s="128" t="s">
        <v>105</v>
      </c>
      <c r="D263" s="129"/>
      <c r="E263" s="130"/>
      <c r="F263" s="130"/>
      <c r="G263" s="130"/>
      <c r="H263" s="131" t="str">
        <f t="shared" si="11"/>
        <v>PVC+ Hak obejmy L-220 </v>
      </c>
      <c r="I263" s="132">
        <v>9.32</v>
      </c>
      <c r="J263" s="133">
        <f t="shared" si="9"/>
        <v>11.4636</v>
      </c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hidden="1">
      <c r="A264" s="1"/>
      <c r="B264" s="73"/>
      <c r="C264" s="128" t="s">
        <v>106</v>
      </c>
      <c r="D264" s="129"/>
      <c r="E264" s="130"/>
      <c r="F264" s="130"/>
      <c r="G264" s="130"/>
      <c r="H264" s="131" t="str">
        <f t="shared" si="11"/>
        <v>PVC+ Hak obejmy L-250 </v>
      </c>
      <c r="I264" s="132">
        <v>10.01</v>
      </c>
      <c r="J264" s="133">
        <f t="shared" si="9"/>
        <v>12.3123</v>
      </c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hidden="1">
      <c r="A265" s="1"/>
      <c r="B265" s="73"/>
      <c r="C265" s="128" t="s">
        <v>107</v>
      </c>
      <c r="D265" s="129"/>
      <c r="E265" s="130"/>
      <c r="F265" s="130"/>
      <c r="G265" s="130"/>
      <c r="H265" s="131" t="str">
        <f t="shared" si="11"/>
        <v>PVC+ Hak obejmy L-300 </v>
      </c>
      <c r="I265" s="132">
        <v>10.61</v>
      </c>
      <c r="J265" s="133">
        <f t="shared" si="9"/>
        <v>13.0503</v>
      </c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hidden="1">
      <c r="A266" s="1"/>
      <c r="B266" s="73"/>
      <c r="C266" s="128" t="s">
        <v>46</v>
      </c>
      <c r="D266" s="129" t="s">
        <v>60</v>
      </c>
      <c r="E266" s="130"/>
      <c r="F266" s="130"/>
      <c r="G266" s="130"/>
      <c r="H266" s="131" t="str">
        <f t="shared" si="11"/>
        <v>PVC+ Wspornik aluminiowy </v>
      </c>
      <c r="I266" s="132">
        <v>5.38</v>
      </c>
      <c r="J266" s="133">
        <f t="shared" si="9"/>
        <v>6.6174</v>
      </c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hidden="1">
      <c r="A267" s="1"/>
      <c r="B267" s="73"/>
      <c r="C267" s="128" t="s">
        <v>45</v>
      </c>
      <c r="D267" s="129" t="s">
        <v>60</v>
      </c>
      <c r="E267" s="130"/>
      <c r="F267" s="130"/>
      <c r="G267" s="130"/>
      <c r="H267" s="131" t="str">
        <f t="shared" si="11"/>
        <v>PVC+ Stopka do obejm </v>
      </c>
      <c r="I267" s="132">
        <v>6.65</v>
      </c>
      <c r="J267" s="133">
        <f t="shared" si="9"/>
        <v>8.1795</v>
      </c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hidden="1">
      <c r="A268" s="1"/>
      <c r="B268" s="83"/>
      <c r="C268" s="136" t="s">
        <v>95</v>
      </c>
      <c r="D268" s="138"/>
      <c r="E268" s="139"/>
      <c r="F268" s="139"/>
      <c r="G268" s="139"/>
      <c r="H268" s="140" t="str">
        <f t="shared" si="11"/>
        <v>PVC+ Pasta poślizgowa </v>
      </c>
      <c r="I268" s="141">
        <v>18.77</v>
      </c>
      <c r="J268" s="142">
        <f t="shared" si="9"/>
        <v>23.0871</v>
      </c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>
      <c r="A269" s="1"/>
      <c r="E269" s="146"/>
      <c r="F269" s="146"/>
      <c r="G269" s="146"/>
      <c r="I269" s="133"/>
      <c r="J269" s="133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</sheetData>
  <mergeCells count="67">
    <mergeCell ref="C34:D34"/>
    <mergeCell ref="C35:D35"/>
    <mergeCell ref="C36:D36"/>
    <mergeCell ref="C37:D37"/>
    <mergeCell ref="C38:D38"/>
    <mergeCell ref="C39:D39"/>
    <mergeCell ref="B30:B40"/>
    <mergeCell ref="B41:B50"/>
    <mergeCell ref="B71:B155"/>
    <mergeCell ref="B156:B198"/>
    <mergeCell ref="B199:B268"/>
    <mergeCell ref="C27:D27"/>
    <mergeCell ref="C28:D28"/>
    <mergeCell ref="C30:D30"/>
    <mergeCell ref="C31:D31"/>
    <mergeCell ref="C32:D32"/>
    <mergeCell ref="C33:D33"/>
    <mergeCell ref="C40:D40"/>
    <mergeCell ref="C49:D49"/>
    <mergeCell ref="C50:D50"/>
    <mergeCell ref="D52:E52"/>
    <mergeCell ref="G52:H52"/>
    <mergeCell ref="C53:E53"/>
    <mergeCell ref="D54:E54"/>
    <mergeCell ref="F54:G54"/>
    <mergeCell ref="C42:D42"/>
    <mergeCell ref="C43:D43"/>
    <mergeCell ref="C44:D44"/>
    <mergeCell ref="C45:D45"/>
    <mergeCell ref="C46:D46"/>
    <mergeCell ref="C47:D47"/>
    <mergeCell ref="C48:D48"/>
    <mergeCell ref="C1:E4"/>
    <mergeCell ref="F1:I1"/>
    <mergeCell ref="F2:I2"/>
    <mergeCell ref="F3:I3"/>
    <mergeCell ref="F4:I4"/>
    <mergeCell ref="C6:D6"/>
    <mergeCell ref="E6:I6"/>
    <mergeCell ref="C7:D7"/>
    <mergeCell ref="E7:I7"/>
    <mergeCell ref="C8:D8"/>
    <mergeCell ref="E8:F8"/>
    <mergeCell ref="C9:D9"/>
    <mergeCell ref="E9:F9"/>
    <mergeCell ref="H11:I11"/>
    <mergeCell ref="C11:D11"/>
    <mergeCell ref="C12:E13"/>
    <mergeCell ref="F12:F13"/>
    <mergeCell ref="G12:G13"/>
    <mergeCell ref="H12:I13"/>
    <mergeCell ref="C14:E14"/>
    <mergeCell ref="G14:I14"/>
    <mergeCell ref="C21:D21"/>
    <mergeCell ref="C22:D22"/>
    <mergeCell ref="C23:D23"/>
    <mergeCell ref="C24:D24"/>
    <mergeCell ref="C25:D25"/>
    <mergeCell ref="C26:D26"/>
    <mergeCell ref="C15:F15"/>
    <mergeCell ref="G15:I15"/>
    <mergeCell ref="C17:D17"/>
    <mergeCell ref="B18:B29"/>
    <mergeCell ref="C18:D18"/>
    <mergeCell ref="C19:D19"/>
    <mergeCell ref="C20:D20"/>
    <mergeCell ref="C29:D29"/>
  </mergeCells>
  <conditionalFormatting sqref="E6:E7 C12:F13">
    <cfRule type="containsBlanks" dxfId="0" priority="1">
      <formula>LEN(TRIM(E6))=0</formula>
    </cfRule>
  </conditionalFormatting>
  <conditionalFormatting sqref="C15:E15">
    <cfRule type="expression" dxfId="1" priority="2" operator="notContains">
      <formula>ISERROR(SEARCH((F12&amp;"/"&amp;G12),(C15)))</formula>
    </cfRule>
  </conditionalFormatting>
  <conditionalFormatting sqref="G15:I15">
    <cfRule type="expression" dxfId="1" priority="3" operator="notContains">
      <formula>ISERROR(SEARCH((H12),(G15)))</formula>
    </cfRule>
  </conditionalFormatting>
  <conditionalFormatting sqref="F18:F24 F31:F33 F35:F50">
    <cfRule type="cellIs" dxfId="2" priority="4" operator="equal">
      <formula>"Brak"</formula>
    </cfRule>
  </conditionalFormatting>
  <dataValidations>
    <dataValidation type="list" allowBlank="1" sqref="F12">
      <formula1>'Rynny Gamrat'!$L$76:$L$79</formula1>
    </dataValidation>
    <dataValidation type="list" allowBlank="1" sqref="C37:C40">
      <formula1>'Rynny Gamrat'!$L$93:$L$104</formula1>
    </dataValidation>
    <dataValidation type="list" allowBlank="1" sqref="I8">
      <formula1>$L$7:$L$12</formula1>
    </dataValidation>
    <dataValidation type="list" allowBlank="1" sqref="D41">
      <formula1>'Rynny Gamrat'!$M$106:$M$114</formula1>
    </dataValidation>
    <dataValidation type="list" allowBlank="1" sqref="C30:C36">
      <formula1>'Rynny Gamrat'!$L$93:$L$105</formula1>
    </dataValidation>
    <dataValidation type="list" allowBlank="1" sqref="E9">
      <formula1>$K$7:$K$15</formula1>
    </dataValidation>
    <dataValidation type="list" allowBlank="1" sqref="C18:C29">
      <formula1>'Rynny Gamrat'!$L$83:$L$92</formula1>
    </dataValidation>
    <dataValidation type="list" allowBlank="1" sqref="C41">
      <formula1>'Rynny Gamrat'!$L$106</formula1>
    </dataValidation>
    <dataValidation type="list" allowBlank="1" sqref="C12">
      <formula1>'Rynny Gamrat'!$L$71:$L$73</formula1>
    </dataValidation>
    <dataValidation type="list" allowBlank="1" sqref="G12">
      <formula1>'Rynny Gamrat'!$M$76:$M$80</formula1>
    </dataValidation>
    <dataValidation type="list" allowBlank="1" sqref="H12">
      <formula1>KOSZTORYS!$Y$8:$Y$18</formula1>
    </dataValidation>
    <dataValidation type="list" allowBlank="1" sqref="C42:C50">
      <formula1>'Rynny Gamrat'!$L$107:$L$115</formula1>
    </dataValidation>
  </dataValidations>
  <printOptions gridLines="1" horizontalCentered="1"/>
  <pageMargins bottom="0.75" footer="0.0" header="0.0" left="0.25" right="0.25" top="0.75"/>
  <pageSetup paperSize="9" cellComments="atEnd" orientation="portrait" pageOrder="overThenDown"/>
  <headerFooter>
    <oddHeader>&amp;RŁyski, &amp;D</oddHeader>
    <oddFooter>&amp;LAkceptuję zamówienie:&amp;R......................................................................................</oddFooter>
  </headerFooter>
  <rowBreaks count="2" manualBreakCount="2">
    <brk man="1"/>
    <brk id="55" man="1"/>
  </rowBreaks>
  <drawing r:id="rId1"/>
</worksheet>
</file>